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9020" windowHeight="9540" firstSheet="2" activeTab="2"/>
  </bookViews>
  <sheets>
    <sheet name="Sheet1" sheetId="1" r:id="rId1"/>
    <sheet name="Volumes" sheetId="2" r:id="rId2"/>
    <sheet name="2035_Types" sheetId="4" r:id="rId3"/>
    <sheet name="Sheet3" sheetId="3" r:id="rId4"/>
    <sheet name="2025" sheetId="5" r:id="rId5"/>
  </sheets>
  <calcPr calcId="145621"/>
</workbook>
</file>

<file path=xl/calcChain.xml><?xml version="1.0" encoding="utf-8"?>
<calcChain xmlns="http://schemas.openxmlformats.org/spreadsheetml/2006/main">
  <c r="M20" i="5" l="1"/>
  <c r="M24" i="5" s="1"/>
  <c r="L20" i="5"/>
  <c r="K20" i="5"/>
  <c r="J20" i="5"/>
  <c r="I20" i="5"/>
  <c r="H20" i="5"/>
  <c r="M23" i="5" s="1"/>
  <c r="T19" i="5"/>
  <c r="S19" i="5"/>
  <c r="R19" i="5"/>
  <c r="Q19" i="5"/>
  <c r="P19" i="5"/>
  <c r="O19" i="5"/>
  <c r="T18" i="5"/>
  <c r="S18" i="5"/>
  <c r="R18" i="5"/>
  <c r="Q18" i="5"/>
  <c r="P18" i="5"/>
  <c r="O18" i="5"/>
  <c r="T17" i="5"/>
  <c r="S17" i="5"/>
  <c r="R17" i="5"/>
  <c r="Q17" i="5"/>
  <c r="P17" i="5"/>
  <c r="O17" i="5"/>
  <c r="T16" i="5"/>
  <c r="S16" i="5"/>
  <c r="R16" i="5"/>
  <c r="Q16" i="5"/>
  <c r="P16" i="5"/>
  <c r="O16" i="5"/>
  <c r="T15" i="5"/>
  <c r="S15" i="5"/>
  <c r="R15" i="5"/>
  <c r="Q15" i="5"/>
  <c r="P15" i="5"/>
  <c r="O15" i="5"/>
  <c r="T14" i="5"/>
  <c r="S14" i="5"/>
  <c r="R14" i="5"/>
  <c r="Q14" i="5"/>
  <c r="P14" i="5"/>
  <c r="O14" i="5"/>
  <c r="T13" i="5"/>
  <c r="S13" i="5"/>
  <c r="R13" i="5"/>
  <c r="Q13" i="5"/>
  <c r="P13" i="5"/>
  <c r="O13" i="5"/>
  <c r="T12" i="5"/>
  <c r="S12" i="5"/>
  <c r="R12" i="5"/>
  <c r="Q12" i="5"/>
  <c r="P12" i="5"/>
  <c r="O12" i="5"/>
  <c r="T11" i="5"/>
  <c r="S11" i="5"/>
  <c r="R11" i="5"/>
  <c r="Q11" i="5"/>
  <c r="P11" i="5"/>
  <c r="O11" i="5"/>
  <c r="T10" i="5"/>
  <c r="S10" i="5"/>
  <c r="R10" i="5"/>
  <c r="Q10" i="5"/>
  <c r="P10" i="5"/>
  <c r="O10" i="5"/>
  <c r="T9" i="5"/>
  <c r="T20" i="5" s="1"/>
  <c r="S9" i="5"/>
  <c r="S20" i="5" s="1"/>
  <c r="R9" i="5"/>
  <c r="R20" i="5" s="1"/>
  <c r="Q9" i="5"/>
  <c r="Q20" i="5" s="1"/>
  <c r="P9" i="5"/>
  <c r="P20" i="5" s="1"/>
  <c r="Q24" i="5" s="1"/>
  <c r="Q25" i="5" s="1"/>
  <c r="O9" i="5"/>
  <c r="O20" i="5" s="1"/>
  <c r="Q23" i="5" s="1"/>
  <c r="D5" i="5"/>
  <c r="D6" i="5" s="1"/>
  <c r="D7" i="5" s="1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AF30" i="4"/>
  <c r="AE30" i="4"/>
  <c r="AD30" i="4"/>
  <c r="AC30" i="4"/>
  <c r="AB30" i="4"/>
  <c r="AG30" i="4" s="1"/>
  <c r="AA30" i="4"/>
  <c r="Y30" i="4"/>
  <c r="X30" i="4" s="1"/>
  <c r="V30" i="4"/>
  <c r="U30" i="4" s="1"/>
  <c r="S30" i="4"/>
  <c r="R30" i="4" s="1"/>
  <c r="P30" i="4"/>
  <c r="O30" i="4" s="1"/>
  <c r="M30" i="4"/>
  <c r="AJ30" i="4" s="1"/>
  <c r="J30" i="4"/>
  <c r="I30" i="4" s="1"/>
  <c r="AF29" i="4"/>
  <c r="AE29" i="4"/>
  <c r="AD29" i="4"/>
  <c r="AC29" i="4"/>
  <c r="AB29" i="4"/>
  <c r="AA29" i="4"/>
  <c r="AG29" i="4" s="1"/>
  <c r="Y29" i="4"/>
  <c r="X29" i="4"/>
  <c r="V29" i="4"/>
  <c r="U29" i="4"/>
  <c r="M29" i="4"/>
  <c r="L29" i="4"/>
  <c r="J29" i="4"/>
  <c r="I29" i="4"/>
  <c r="AF28" i="4"/>
  <c r="AE28" i="4"/>
  <c r="AD28" i="4"/>
  <c r="AC28" i="4"/>
  <c r="AB28" i="4"/>
  <c r="AG28" i="4" s="1"/>
  <c r="AA28" i="4"/>
  <c r="Y28" i="4"/>
  <c r="X28" i="4"/>
  <c r="V28" i="4"/>
  <c r="U28" i="4"/>
  <c r="M28" i="4"/>
  <c r="L28" i="4"/>
  <c r="J28" i="4"/>
  <c r="I28" i="4"/>
  <c r="AF27" i="4"/>
  <c r="AE27" i="4"/>
  <c r="AD27" i="4"/>
  <c r="AC27" i="4"/>
  <c r="AB27" i="4"/>
  <c r="AG27" i="4" s="1"/>
  <c r="AA27" i="4"/>
  <c r="Y27" i="4"/>
  <c r="X27" i="4" s="1"/>
  <c r="V27" i="4"/>
  <c r="U27" i="4" s="1"/>
  <c r="M27" i="4"/>
  <c r="J27" i="4"/>
  <c r="I27" i="4" s="1"/>
  <c r="AF26" i="4"/>
  <c r="AE26" i="4"/>
  <c r="AD26" i="4"/>
  <c r="AC26" i="4"/>
  <c r="AB26" i="4"/>
  <c r="AG26" i="4" s="1"/>
  <c r="AA26" i="4"/>
  <c r="Y26" i="4"/>
  <c r="X26" i="4" s="1"/>
  <c r="V26" i="4"/>
  <c r="U26" i="4" s="1"/>
  <c r="M26" i="4"/>
  <c r="J26" i="4"/>
  <c r="I26" i="4" s="1"/>
  <c r="AF25" i="4"/>
  <c r="AE25" i="4"/>
  <c r="AD25" i="4"/>
  <c r="AC25" i="4"/>
  <c r="AB25" i="4"/>
  <c r="AG25" i="4" s="1"/>
  <c r="AA25" i="4"/>
  <c r="Y25" i="4"/>
  <c r="X25" i="4" s="1"/>
  <c r="V25" i="4"/>
  <c r="U25" i="4" s="1"/>
  <c r="M25" i="4"/>
  <c r="J25" i="4"/>
  <c r="I25" i="4" s="1"/>
  <c r="AF24" i="4"/>
  <c r="AE24" i="4"/>
  <c r="AD24" i="4"/>
  <c r="AC24" i="4"/>
  <c r="AB24" i="4"/>
  <c r="AG24" i="4" s="1"/>
  <c r="AA24" i="4"/>
  <c r="Y24" i="4"/>
  <c r="X24" i="4" s="1"/>
  <c r="V24" i="4"/>
  <c r="U24" i="4" s="1"/>
  <c r="M24" i="4"/>
  <c r="J24" i="4"/>
  <c r="I24" i="4" s="1"/>
  <c r="AF23" i="4"/>
  <c r="AE23" i="4"/>
  <c r="AD23" i="4"/>
  <c r="AC23" i="4"/>
  <c r="AB23" i="4"/>
  <c r="AG23" i="4" s="1"/>
  <c r="AA23" i="4"/>
  <c r="Y23" i="4"/>
  <c r="X23" i="4" s="1"/>
  <c r="V23" i="4"/>
  <c r="U23" i="4" s="1"/>
  <c r="M23" i="4"/>
  <c r="J23" i="4"/>
  <c r="I23" i="4" s="1"/>
  <c r="AF22" i="4"/>
  <c r="AE22" i="4"/>
  <c r="AD22" i="4"/>
  <c r="AC22" i="4"/>
  <c r="AB22" i="4"/>
  <c r="AG22" i="4" s="1"/>
  <c r="AA22" i="4"/>
  <c r="Y22" i="4"/>
  <c r="X22" i="4" s="1"/>
  <c r="V22" i="4"/>
  <c r="U22" i="4" s="1"/>
  <c r="M22" i="4"/>
  <c r="L22" i="4" s="1"/>
  <c r="J22" i="4"/>
  <c r="I22" i="4" s="1"/>
  <c r="AF21" i="4"/>
  <c r="AE21" i="4"/>
  <c r="AD21" i="4"/>
  <c r="AC21" i="4"/>
  <c r="AB21" i="4"/>
  <c r="AG21" i="4" s="1"/>
  <c r="AA21" i="4"/>
  <c r="Y21" i="4"/>
  <c r="X21" i="4" s="1"/>
  <c r="V21" i="4"/>
  <c r="U21" i="4" s="1"/>
  <c r="M21" i="4"/>
  <c r="J21" i="4"/>
  <c r="I21" i="4" s="1"/>
  <c r="AF20" i="4"/>
  <c r="AE20" i="4"/>
  <c r="AD20" i="4"/>
  <c r="AC20" i="4"/>
  <c r="AB20" i="4"/>
  <c r="AG20" i="4" s="1"/>
  <c r="AA20" i="4"/>
  <c r="Y20" i="4"/>
  <c r="X20" i="4" s="1"/>
  <c r="V20" i="4"/>
  <c r="U20" i="4" s="1"/>
  <c r="M20" i="4"/>
  <c r="J20" i="4"/>
  <c r="I20" i="4" s="1"/>
  <c r="AF19" i="4"/>
  <c r="AE19" i="4"/>
  <c r="AD19" i="4"/>
  <c r="AC19" i="4"/>
  <c r="AB19" i="4"/>
  <c r="AG19" i="4" s="1"/>
  <c r="AA19" i="4"/>
  <c r="Y19" i="4"/>
  <c r="X19" i="4" s="1"/>
  <c r="V19" i="4"/>
  <c r="U19" i="4" s="1"/>
  <c r="M19" i="4"/>
  <c r="J19" i="4"/>
  <c r="I19" i="4" s="1"/>
  <c r="AF18" i="4"/>
  <c r="AE18" i="4"/>
  <c r="AD18" i="4"/>
  <c r="AC18" i="4"/>
  <c r="AB18" i="4"/>
  <c r="AG18" i="4" s="1"/>
  <c r="AA18" i="4"/>
  <c r="Y18" i="4"/>
  <c r="X18" i="4" s="1"/>
  <c r="V18" i="4"/>
  <c r="U18" i="4" s="1"/>
  <c r="M18" i="4"/>
  <c r="J18" i="4"/>
  <c r="I18" i="4" s="1"/>
  <c r="AF17" i="4"/>
  <c r="AE17" i="4"/>
  <c r="AD17" i="4"/>
  <c r="AC17" i="4"/>
  <c r="AB17" i="4"/>
  <c r="AG17" i="4" s="1"/>
  <c r="AA17" i="4"/>
  <c r="Y17" i="4"/>
  <c r="X17" i="4" s="1"/>
  <c r="V17" i="4"/>
  <c r="U17" i="4" s="1"/>
  <c r="M17" i="4"/>
  <c r="J17" i="4"/>
  <c r="I17" i="4" s="1"/>
  <c r="AF16" i="4"/>
  <c r="AE16" i="4"/>
  <c r="AD16" i="4"/>
  <c r="AC16" i="4"/>
  <c r="AB16" i="4"/>
  <c r="AG16" i="4" s="1"/>
  <c r="AA16" i="4"/>
  <c r="Y16" i="4"/>
  <c r="X16" i="4" s="1"/>
  <c r="V16" i="4"/>
  <c r="U16" i="4" s="1"/>
  <c r="M16" i="4"/>
  <c r="J16" i="4"/>
  <c r="I16" i="4" s="1"/>
  <c r="AF15" i="4"/>
  <c r="AE15" i="4"/>
  <c r="AD15" i="4"/>
  <c r="AC15" i="4"/>
  <c r="AB15" i="4"/>
  <c r="AG15" i="4" s="1"/>
  <c r="AA15" i="4"/>
  <c r="Y15" i="4"/>
  <c r="X15" i="4" s="1"/>
  <c r="V15" i="4"/>
  <c r="U15" i="4" s="1"/>
  <c r="M15" i="4"/>
  <c r="J15" i="4"/>
  <c r="I15" i="4" s="1"/>
  <c r="AF14" i="4"/>
  <c r="AE14" i="4"/>
  <c r="AD14" i="4"/>
  <c r="AC14" i="4"/>
  <c r="AB14" i="4"/>
  <c r="AG14" i="4" s="1"/>
  <c r="AA14" i="4"/>
  <c r="Y14" i="4"/>
  <c r="X14" i="4" s="1"/>
  <c r="V14" i="4"/>
  <c r="U14" i="4" s="1"/>
  <c r="M14" i="4"/>
  <c r="J14" i="4"/>
  <c r="I14" i="4" s="1"/>
  <c r="AF13" i="4"/>
  <c r="AE13" i="4"/>
  <c r="AD13" i="4"/>
  <c r="AC13" i="4"/>
  <c r="AB13" i="4"/>
  <c r="AG13" i="4" s="1"/>
  <c r="AA13" i="4"/>
  <c r="Y13" i="4"/>
  <c r="X13" i="4" s="1"/>
  <c r="V13" i="4"/>
  <c r="U13" i="4" s="1"/>
  <c r="M13" i="4"/>
  <c r="J13" i="4"/>
  <c r="I13" i="4" s="1"/>
  <c r="AF12" i="4"/>
  <c r="AE12" i="4"/>
  <c r="AD12" i="4"/>
  <c r="AC12" i="4"/>
  <c r="AB12" i="4"/>
  <c r="AG12" i="4" s="1"/>
  <c r="AA12" i="4"/>
  <c r="Y12" i="4"/>
  <c r="X12" i="4" s="1"/>
  <c r="V12" i="4"/>
  <c r="U12" i="4" s="1"/>
  <c r="M12" i="4"/>
  <c r="J12" i="4"/>
  <c r="I12" i="4" s="1"/>
  <c r="AF11" i="4"/>
  <c r="AE11" i="4"/>
  <c r="AD11" i="4"/>
  <c r="AC11" i="4"/>
  <c r="AB11" i="4"/>
  <c r="AG11" i="4" s="1"/>
  <c r="AA11" i="4"/>
  <c r="Y11" i="4"/>
  <c r="X11" i="4" s="1"/>
  <c r="V11" i="4"/>
  <c r="U11" i="4" s="1"/>
  <c r="M11" i="4"/>
  <c r="J11" i="4"/>
  <c r="I11" i="4" s="1"/>
  <c r="AF10" i="4"/>
  <c r="AE10" i="4"/>
  <c r="AD10" i="4"/>
  <c r="AC10" i="4"/>
  <c r="AB10" i="4"/>
  <c r="AG10" i="4" s="1"/>
  <c r="AA10" i="4"/>
  <c r="Y10" i="4"/>
  <c r="X10" i="4" s="1"/>
  <c r="V10" i="4"/>
  <c r="U10" i="4" s="1"/>
  <c r="M10" i="4"/>
  <c r="J10" i="4"/>
  <c r="I10" i="4" s="1"/>
  <c r="D6" i="4"/>
  <c r="D7" i="4" s="1"/>
  <c r="D8" i="4" s="1"/>
  <c r="D9" i="4" s="1"/>
  <c r="D10" i="4" s="1"/>
  <c r="E4" i="2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D4" i="2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C4" i="2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B4" i="2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T7" i="1"/>
  <c r="S7" i="1"/>
  <c r="R7" i="1"/>
  <c r="J7" i="1"/>
  <c r="N7" i="1" s="1"/>
  <c r="G7" i="1"/>
  <c r="T6" i="1"/>
  <c r="S6" i="1"/>
  <c r="R6" i="1"/>
  <c r="J6" i="1"/>
  <c r="N6" i="1" s="1"/>
  <c r="G6" i="1"/>
  <c r="T5" i="1"/>
  <c r="S5" i="1"/>
  <c r="R5" i="1"/>
  <c r="J5" i="1"/>
  <c r="N5" i="1" s="1"/>
  <c r="G5" i="1"/>
  <c r="T4" i="1"/>
  <c r="T8" i="1" s="1"/>
  <c r="S4" i="1"/>
  <c r="S8" i="1" s="1"/>
  <c r="R4" i="1"/>
  <c r="R8" i="1" s="1"/>
  <c r="J4" i="1"/>
  <c r="N4" i="1" s="1"/>
  <c r="G4" i="1"/>
  <c r="W4" i="1" l="1"/>
  <c r="U4" i="1"/>
  <c r="S9" i="1"/>
  <c r="W5" i="1"/>
  <c r="U5" i="1"/>
  <c r="M5" i="1"/>
  <c r="L5" i="1" s="1"/>
  <c r="V5" i="1" s="1"/>
  <c r="W7" i="1"/>
  <c r="U7" i="1"/>
  <c r="M7" i="1"/>
  <c r="L7" i="1" s="1"/>
  <c r="V7" i="1" s="1"/>
  <c r="D11" i="4"/>
  <c r="S10" i="4"/>
  <c r="R10" i="4" s="1"/>
  <c r="P10" i="4"/>
  <c r="O10" i="4" s="1"/>
  <c r="AJ10" i="4"/>
  <c r="W6" i="1"/>
  <c r="U6" i="1"/>
  <c r="K4" i="1"/>
  <c r="M4" i="1" s="1"/>
  <c r="L4" i="1" s="1"/>
  <c r="V4" i="1" s="1"/>
  <c r="K5" i="1"/>
  <c r="K6" i="1"/>
  <c r="M6" i="1" s="1"/>
  <c r="L6" i="1" s="1"/>
  <c r="V6" i="1" s="1"/>
  <c r="K7" i="1"/>
  <c r="L10" i="4"/>
  <c r="AI10" i="4" s="1"/>
  <c r="L11" i="4"/>
  <c r="L12" i="4"/>
  <c r="L13" i="4"/>
  <c r="L15" i="4"/>
  <c r="L17" i="4"/>
  <c r="L14" i="4"/>
  <c r="L16" i="4"/>
  <c r="L18" i="4"/>
  <c r="L19" i="4"/>
  <c r="L20" i="4"/>
  <c r="L21" i="4"/>
  <c r="L23" i="4"/>
  <c r="R25" i="5"/>
  <c r="S25" i="5" s="1"/>
  <c r="R24" i="5"/>
  <c r="S24" i="5" s="1"/>
  <c r="L30" i="4"/>
  <c r="AI30" i="4" s="1"/>
  <c r="AL30" i="4" s="1"/>
  <c r="AK30" i="4" s="1"/>
  <c r="L24" i="4"/>
  <c r="L25" i="4"/>
  <c r="L26" i="4"/>
  <c r="L27" i="4"/>
  <c r="V8" i="1" l="1"/>
  <c r="D12" i="4"/>
  <c r="S11" i="4"/>
  <c r="P11" i="4"/>
  <c r="O11" i="4" s="1"/>
  <c r="U8" i="1"/>
  <c r="AL10" i="4"/>
  <c r="W8" i="1"/>
  <c r="AK10" i="4" l="1"/>
  <c r="R11" i="4"/>
  <c r="AI11" i="4" s="1"/>
  <c r="AJ11" i="4"/>
  <c r="D13" i="4"/>
  <c r="S12" i="4"/>
  <c r="P12" i="4"/>
  <c r="O12" i="4" s="1"/>
  <c r="R12" i="4" l="1"/>
  <c r="AI12" i="4" s="1"/>
  <c r="AJ12" i="4"/>
  <c r="AK11" i="4"/>
  <c r="AL11" i="4"/>
  <c r="D14" i="4"/>
  <c r="S13" i="4"/>
  <c r="P13" i="4"/>
  <c r="O13" i="4" s="1"/>
  <c r="S14" i="4" l="1"/>
  <c r="D15" i="4"/>
  <c r="P14" i="4"/>
  <c r="O14" i="4" s="1"/>
  <c r="R13" i="4"/>
  <c r="AI13" i="4" s="1"/>
  <c r="AJ13" i="4"/>
  <c r="AL12" i="4"/>
  <c r="AK12" i="4" l="1"/>
  <c r="AK13" i="4"/>
  <c r="AL13" i="4"/>
  <c r="R14" i="4"/>
  <c r="AI14" i="4" s="1"/>
  <c r="AJ14" i="4"/>
  <c r="D16" i="4"/>
  <c r="P15" i="4"/>
  <c r="O15" i="4" s="1"/>
  <c r="S15" i="4"/>
  <c r="R15" i="4" l="1"/>
  <c r="AI15" i="4" s="1"/>
  <c r="AJ15" i="4"/>
  <c r="S16" i="4"/>
  <c r="D17" i="4"/>
  <c r="P16" i="4"/>
  <c r="O16" i="4" s="1"/>
  <c r="AL14" i="4"/>
  <c r="AK14" i="4" s="1"/>
  <c r="D18" i="4" l="1"/>
  <c r="S17" i="4"/>
  <c r="P17" i="4"/>
  <c r="O17" i="4" s="1"/>
  <c r="R16" i="4"/>
  <c r="AI16" i="4" s="1"/>
  <c r="AJ16" i="4"/>
  <c r="AL15" i="4"/>
  <c r="AK15" i="4"/>
  <c r="AL16" i="4" l="1"/>
  <c r="AK16" i="4" s="1"/>
  <c r="R17" i="4"/>
  <c r="AI17" i="4" s="1"/>
  <c r="AJ17" i="4"/>
  <c r="D19" i="4"/>
  <c r="S18" i="4"/>
  <c r="P18" i="4"/>
  <c r="O18" i="4" s="1"/>
  <c r="R18" i="4" l="1"/>
  <c r="AI18" i="4" s="1"/>
  <c r="AJ18" i="4"/>
  <c r="D20" i="4"/>
  <c r="S19" i="4"/>
  <c r="P19" i="4"/>
  <c r="O19" i="4" s="1"/>
  <c r="AL17" i="4"/>
  <c r="AK17" i="4" s="1"/>
  <c r="D21" i="4" l="1"/>
  <c r="S20" i="4"/>
  <c r="P20" i="4"/>
  <c r="O20" i="4" s="1"/>
  <c r="R19" i="4"/>
  <c r="AI19" i="4" s="1"/>
  <c r="AJ19" i="4"/>
  <c r="AL18" i="4"/>
  <c r="AK18" i="4" s="1"/>
  <c r="AK19" i="4" l="1"/>
  <c r="AL19" i="4"/>
  <c r="R20" i="4"/>
  <c r="AI20" i="4" s="1"/>
  <c r="AJ20" i="4"/>
  <c r="D22" i="4"/>
  <c r="S21" i="4"/>
  <c r="P21" i="4"/>
  <c r="O21" i="4" s="1"/>
  <c r="S22" i="4" l="1"/>
  <c r="D23" i="4"/>
  <c r="P22" i="4"/>
  <c r="O22" i="4" s="1"/>
  <c r="R21" i="4"/>
  <c r="AI21" i="4" s="1"/>
  <c r="AJ21" i="4"/>
  <c r="AL20" i="4"/>
  <c r="AK20" i="4" s="1"/>
  <c r="D24" i="4" l="1"/>
  <c r="P23" i="4"/>
  <c r="O23" i="4" s="1"/>
  <c r="S23" i="4"/>
  <c r="AL21" i="4"/>
  <c r="AK21" i="4" s="1"/>
  <c r="R22" i="4"/>
  <c r="AI22" i="4" s="1"/>
  <c r="AJ22" i="4"/>
  <c r="AL22" i="4" l="1"/>
  <c r="AK22" i="4" s="1"/>
  <c r="R23" i="4"/>
  <c r="AI23" i="4" s="1"/>
  <c r="AJ23" i="4"/>
  <c r="D25" i="4"/>
  <c r="S24" i="4"/>
  <c r="P24" i="4"/>
  <c r="O24" i="4" s="1"/>
  <c r="D26" i="4" l="1"/>
  <c r="S25" i="4"/>
  <c r="P25" i="4"/>
  <c r="O25" i="4" s="1"/>
  <c r="R24" i="4"/>
  <c r="AI24" i="4" s="1"/>
  <c r="AJ24" i="4"/>
  <c r="AL23" i="4"/>
  <c r="AK23" i="4"/>
  <c r="R25" i="4" l="1"/>
  <c r="AI25" i="4" s="1"/>
  <c r="AJ25" i="4"/>
  <c r="AL24" i="4"/>
  <c r="AK24" i="4" s="1"/>
  <c r="D27" i="4"/>
  <c r="S26" i="4"/>
  <c r="P26" i="4"/>
  <c r="O26" i="4" s="1"/>
  <c r="D28" i="4" l="1"/>
  <c r="S27" i="4"/>
  <c r="P27" i="4"/>
  <c r="O27" i="4" s="1"/>
  <c r="R26" i="4"/>
  <c r="AI26" i="4" s="1"/>
  <c r="AJ26" i="4"/>
  <c r="AL25" i="4"/>
  <c r="AK25" i="4"/>
  <c r="AL26" i="4" l="1"/>
  <c r="AK26" i="4" s="1"/>
  <c r="R27" i="4"/>
  <c r="AI27" i="4" s="1"/>
  <c r="AJ27" i="4"/>
  <c r="D29" i="4"/>
  <c r="S28" i="4"/>
  <c r="P28" i="4"/>
  <c r="O28" i="4" s="1"/>
  <c r="R28" i="4" l="1"/>
  <c r="AI28" i="4" s="1"/>
  <c r="AJ28" i="4"/>
  <c r="AL27" i="4"/>
  <c r="AK27" i="4" s="1"/>
  <c r="S29" i="4"/>
  <c r="P29" i="4"/>
  <c r="O29" i="4" s="1"/>
  <c r="R29" i="4" l="1"/>
  <c r="AI29" i="4" s="1"/>
  <c r="AI31" i="4" s="1"/>
  <c r="AJ29" i="4"/>
  <c r="AL28" i="4"/>
  <c r="AK28" i="4" s="1"/>
  <c r="AL29" i="4" l="1"/>
  <c r="AL31" i="4" s="1"/>
  <c r="AJ31" i="4"/>
  <c r="AK29" i="4" l="1"/>
  <c r="AK31" i="4" s="1"/>
</calcChain>
</file>

<file path=xl/sharedStrings.xml><?xml version="1.0" encoding="utf-8"?>
<sst xmlns="http://schemas.openxmlformats.org/spreadsheetml/2006/main" count="124" uniqueCount="49">
  <si>
    <t>Segment</t>
  </si>
  <si>
    <t>ADT</t>
  </si>
  <si>
    <t>From MP</t>
  </si>
  <si>
    <t>To MP</t>
  </si>
  <si>
    <t>Description</t>
  </si>
  <si>
    <t>South of 84th</t>
  </si>
  <si>
    <t>South of Thornton Pkwy</t>
  </si>
  <si>
    <t>South of 104th</t>
  </si>
  <si>
    <t>South of 120th</t>
  </si>
  <si>
    <t>GP</t>
  </si>
  <si>
    <t>Toll</t>
  </si>
  <si>
    <t>Total</t>
  </si>
  <si>
    <t>% Toll</t>
  </si>
  <si>
    <t>No-Build</t>
  </si>
  <si>
    <t>2025 APMPY Expected</t>
  </si>
  <si>
    <t>APMPY</t>
  </si>
  <si>
    <t>Existing (2010)</t>
  </si>
  <si>
    <t>2035 ADT (EIS)</t>
  </si>
  <si>
    <t>2025 ADT (Linear Interpolation)</t>
  </si>
  <si>
    <t>2025 Acc/Yr Expected</t>
  </si>
  <si>
    <t>With Toll Lanes</t>
  </si>
  <si>
    <t>All GP    (8-lane)</t>
  </si>
  <si>
    <t>All GP     (8-lane)</t>
  </si>
  <si>
    <t>Acc / MVMT</t>
  </si>
  <si>
    <t>Difference</t>
  </si>
  <si>
    <t>2025 Rate Expected</t>
  </si>
  <si>
    <t>Year</t>
  </si>
  <si>
    <t>Traffic Volume</t>
  </si>
  <si>
    <t>8 Lane</t>
  </si>
  <si>
    <t>1: 36-84th</t>
  </si>
  <si>
    <t>2: 84th-Thornton</t>
  </si>
  <si>
    <t>3: Thornton-104th</t>
  </si>
  <si>
    <t>4: 104th-120th</t>
  </si>
  <si>
    <t>APMPY NB</t>
  </si>
  <si>
    <t>APMPY 8</t>
  </si>
  <si>
    <t>Total '15-'25</t>
  </si>
  <si>
    <t>8-Lane + 20%</t>
  </si>
  <si>
    <t>Scenario</t>
  </si>
  <si>
    <t>8-Lane</t>
  </si>
  <si>
    <t xml:space="preserve"> - </t>
  </si>
  <si>
    <t>Reduction (%)</t>
  </si>
  <si>
    <t>Total Accidents (6LUF and 8LUF SPF Averages)</t>
  </si>
  <si>
    <t>Total Accidents</t>
  </si>
  <si>
    <t>Reduction vs. No-Build</t>
  </si>
  <si>
    <t>PDO</t>
  </si>
  <si>
    <t>INJ+FAT</t>
  </si>
  <si>
    <t>INJ</t>
  </si>
  <si>
    <t>FAT</t>
  </si>
  <si>
    <t>Change in Accidents with Managed Lane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</si>
</sst>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1" fontId="1" fillId="0" borderId="1" xfId="0" applyNumberFormat="1" applyFont="1" applyBorder="1"/>
    <xf numFmtId="0" fontId="1" fillId="0" borderId="0" xfId="0" applyFont="1"/>
    <xf numFmtId="2" fontId="1" fillId="0" borderId="1" xfId="0" applyNumberFormat="1" applyFont="1" applyBorder="1"/>
    <xf numFmtId="164" fontId="1" fillId="0" borderId="0" xfId="0" applyNumberFormat="1" applyFont="1" applyFill="1" applyBorder="1"/>
    <xf numFmtId="2" fontId="0" fillId="0" borderId="1" xfId="0" applyNumberFormat="1" applyFont="1" applyBorder="1"/>
    <xf numFmtId="0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0" fillId="2" borderId="1" xfId="0" applyFill="1" applyBorder="1"/>
    <xf numFmtId="0" fontId="2" fillId="0" borderId="1" xfId="0" applyFont="1" applyBorder="1" applyAlignment="1">
      <alignment horizontal="center" wrapText="1"/>
    </xf>
    <xf numFmtId="9" fontId="0" fillId="0" borderId="1" xfId="0" applyNumberFormat="1" applyBorder="1"/>
    <xf numFmtId="0" fontId="0" fillId="0" borderId="0" xfId="0" applyBorder="1"/>
    <xf numFmtId="0" fontId="0" fillId="3" borderId="1" xfId="0" applyFill="1" applyBorder="1"/>
    <xf numFmtId="1" fontId="0" fillId="3" borderId="1" xfId="0" applyNumberFormat="1" applyFill="1" applyBorder="1"/>
    <xf numFmtId="0" fontId="0" fillId="0" borderId="1" xfId="0" applyFill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9"/>
  <sheetViews>
    <sheetView workbookViewId="0">
      <selection activeCell="E22" sqref="E22"/>
    </sheetView>
  </sheetViews>
  <sheetFormatPr defaultRowHeight="15" x14ac:dyDescent="0.25"/>
  <cols>
    <col min="4" max="4" width="23.7109375" customWidth="1"/>
    <col min="7" max="7" width="9.140625" customWidth="1"/>
    <col min="15" max="15" width="10.28515625" customWidth="1"/>
    <col min="16" max="16" width="9.140625" customWidth="1"/>
  </cols>
  <sheetData>
    <row r="2" spans="1:23" x14ac:dyDescent="0.25">
      <c r="E2" s="27" t="s">
        <v>16</v>
      </c>
      <c r="F2" s="28"/>
      <c r="G2" s="29"/>
      <c r="H2" s="26" t="s">
        <v>17</v>
      </c>
      <c r="I2" s="26"/>
      <c r="J2" s="26"/>
      <c r="K2" s="1"/>
      <c r="L2" s="26" t="s">
        <v>18</v>
      </c>
      <c r="M2" s="26"/>
      <c r="N2" s="26"/>
      <c r="O2" s="26" t="s">
        <v>14</v>
      </c>
      <c r="P2" s="26"/>
      <c r="Q2" s="26"/>
      <c r="R2" s="26" t="s">
        <v>19</v>
      </c>
      <c r="S2" s="26"/>
      <c r="T2" s="26"/>
      <c r="U2" s="26" t="s">
        <v>25</v>
      </c>
      <c r="V2" s="26"/>
      <c r="W2" s="26"/>
    </row>
    <row r="3" spans="1:23" ht="27.7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1</v>
      </c>
      <c r="F3" s="2" t="s">
        <v>15</v>
      </c>
      <c r="G3" s="5" t="s">
        <v>23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9</v>
      </c>
      <c r="M3" s="2" t="s">
        <v>10</v>
      </c>
      <c r="N3" s="2" t="s">
        <v>11</v>
      </c>
      <c r="O3" s="7" t="s">
        <v>13</v>
      </c>
      <c r="P3" s="6" t="s">
        <v>20</v>
      </c>
      <c r="Q3" s="6" t="s">
        <v>21</v>
      </c>
      <c r="R3" s="2" t="s">
        <v>13</v>
      </c>
      <c r="S3" s="6" t="s">
        <v>20</v>
      </c>
      <c r="T3" s="6" t="s">
        <v>22</v>
      </c>
      <c r="U3" s="2" t="s">
        <v>13</v>
      </c>
      <c r="V3" s="6" t="s">
        <v>20</v>
      </c>
      <c r="W3" s="6" t="s">
        <v>22</v>
      </c>
    </row>
    <row r="4" spans="1:23" x14ac:dyDescent="0.25">
      <c r="A4" s="2">
        <v>1</v>
      </c>
      <c r="B4" s="2">
        <v>217.01</v>
      </c>
      <c r="C4" s="2">
        <v>218.45</v>
      </c>
      <c r="D4" s="2" t="s">
        <v>5</v>
      </c>
      <c r="E4" s="2">
        <v>160000</v>
      </c>
      <c r="F4" s="8">
        <v>90</v>
      </c>
      <c r="G4" s="11">
        <f>F4/(365*E4/1000000)</f>
        <v>1.5410958904109588</v>
      </c>
      <c r="H4" s="2">
        <v>247900</v>
      </c>
      <c r="I4" s="2">
        <v>5600</v>
      </c>
      <c r="J4" s="2">
        <f>I4+H4</f>
        <v>253500</v>
      </c>
      <c r="K4" s="3">
        <f>I4/J4</f>
        <v>2.2090729783037475E-2</v>
      </c>
      <c r="L4" s="4">
        <f>N4-M4</f>
        <v>211326.19329388559</v>
      </c>
      <c r="M4" s="4">
        <f>N4*K4</f>
        <v>4773.8067061143984</v>
      </c>
      <c r="N4" s="2">
        <f>15*((J4-E4)/25)+E4</f>
        <v>216100</v>
      </c>
      <c r="O4" s="8">
        <v>160</v>
      </c>
      <c r="P4" s="8">
        <v>155</v>
      </c>
      <c r="Q4" s="8">
        <v>160</v>
      </c>
      <c r="R4" s="9">
        <f>($C4-$B4)*O4</f>
        <v>230.39999999999964</v>
      </c>
      <c r="S4" s="9">
        <f t="shared" ref="S4:T7" si="0">($C4-$B4)*P4</f>
        <v>223.19999999999965</v>
      </c>
      <c r="T4" s="9">
        <f t="shared" si="0"/>
        <v>230.39999999999964</v>
      </c>
      <c r="U4" s="13">
        <f>O4/(365*N4/1000000)</f>
        <v>2.0284875723441078</v>
      </c>
      <c r="V4" s="13">
        <f>P4/(365*L4/1000000)</f>
        <v>2.0094884009764735</v>
      </c>
      <c r="W4" s="13">
        <f>Q4/(365*N4/1000000)</f>
        <v>2.0284875723441078</v>
      </c>
    </row>
    <row r="5" spans="1:23" x14ac:dyDescent="0.25">
      <c r="A5" s="2">
        <v>2</v>
      </c>
      <c r="B5" s="2">
        <v>218.46</v>
      </c>
      <c r="C5" s="2">
        <v>219.85</v>
      </c>
      <c r="D5" s="2" t="s">
        <v>6</v>
      </c>
      <c r="E5" s="2">
        <v>155000</v>
      </c>
      <c r="F5" s="8">
        <v>63</v>
      </c>
      <c r="G5" s="11">
        <f t="shared" ref="G5:G7" si="1">F5/(365*E5/1000000)</f>
        <v>1.1135660627485637</v>
      </c>
      <c r="H5" s="2">
        <v>200700</v>
      </c>
      <c r="I5" s="2">
        <v>23600</v>
      </c>
      <c r="J5" s="2">
        <f t="shared" ref="J5:J7" si="2">I5+H5</f>
        <v>224300</v>
      </c>
      <c r="K5" s="3">
        <f t="shared" ref="K5:K7" si="3">I5/J5</f>
        <v>0.10521622826571556</v>
      </c>
      <c r="L5" s="4">
        <f t="shared" ref="L5:L7" si="4">N5-M5</f>
        <v>175896.59384752563</v>
      </c>
      <c r="M5" s="4">
        <f t="shared" ref="M5:M7" si="5">N5*K5</f>
        <v>20683.406152474363</v>
      </c>
      <c r="N5" s="2">
        <f t="shared" ref="N5:N7" si="6">15*((J5-E5)/25)+E5</f>
        <v>196580</v>
      </c>
      <c r="O5" s="8">
        <v>93</v>
      </c>
      <c r="P5" s="8">
        <v>92</v>
      </c>
      <c r="Q5" s="8">
        <v>105</v>
      </c>
      <c r="R5" s="9">
        <f t="shared" ref="R5:R7" si="7">(C5-B5)*O5</f>
        <v>129.26999999999873</v>
      </c>
      <c r="S5" s="9">
        <f t="shared" si="0"/>
        <v>127.87999999999874</v>
      </c>
      <c r="T5" s="9">
        <f t="shared" si="0"/>
        <v>145.94999999999857</v>
      </c>
      <c r="U5" s="13">
        <f t="shared" ref="U5:U7" si="8">O5/(365*N5/1000000)</f>
        <v>1.296136537531515</v>
      </c>
      <c r="V5" s="13">
        <f>P5/(365*L5/1000000)</f>
        <v>1.432971435132163</v>
      </c>
      <c r="W5" s="13">
        <f t="shared" ref="W5:W7" si="9">Q5/(365*N5/1000000)</f>
        <v>1.4633799617291299</v>
      </c>
    </row>
    <row r="6" spans="1:23" x14ac:dyDescent="0.25">
      <c r="A6" s="2">
        <v>3</v>
      </c>
      <c r="B6" s="2">
        <v>219.86</v>
      </c>
      <c r="C6" s="2">
        <v>221.02</v>
      </c>
      <c r="D6" s="2" t="s">
        <v>7</v>
      </c>
      <c r="E6" s="2">
        <v>147000</v>
      </c>
      <c r="F6" s="8">
        <v>52</v>
      </c>
      <c r="G6" s="11">
        <f t="shared" si="1"/>
        <v>0.96915478520175191</v>
      </c>
      <c r="H6" s="2">
        <v>177000</v>
      </c>
      <c r="I6" s="2">
        <v>45000</v>
      </c>
      <c r="J6" s="2">
        <f t="shared" si="2"/>
        <v>222000</v>
      </c>
      <c r="K6" s="3">
        <f t="shared" si="3"/>
        <v>0.20270270270270271</v>
      </c>
      <c r="L6" s="4">
        <f t="shared" si="4"/>
        <v>153081.08108108107</v>
      </c>
      <c r="M6" s="4">
        <f t="shared" si="5"/>
        <v>38918.91891891892</v>
      </c>
      <c r="N6" s="2">
        <f t="shared" si="6"/>
        <v>192000</v>
      </c>
      <c r="O6" s="8">
        <v>93</v>
      </c>
      <c r="P6" s="8">
        <v>85</v>
      </c>
      <c r="Q6" s="8">
        <v>103</v>
      </c>
      <c r="R6" s="9">
        <f t="shared" si="7"/>
        <v>107.87999999999968</v>
      </c>
      <c r="S6" s="9">
        <f t="shared" si="0"/>
        <v>98.59999999999971</v>
      </c>
      <c r="T6" s="9">
        <f t="shared" si="0"/>
        <v>119.47999999999965</v>
      </c>
      <c r="U6" s="13">
        <f t="shared" si="8"/>
        <v>1.327054794520548</v>
      </c>
      <c r="V6" s="13">
        <f>P6/(365*L6/1000000)</f>
        <v>1.5212638340685707</v>
      </c>
      <c r="W6" s="13">
        <f t="shared" si="9"/>
        <v>1.4697488584474887</v>
      </c>
    </row>
    <row r="7" spans="1:23" x14ac:dyDescent="0.25">
      <c r="A7" s="2">
        <v>4</v>
      </c>
      <c r="B7" s="2">
        <v>221.03</v>
      </c>
      <c r="C7" s="2">
        <v>223.04</v>
      </c>
      <c r="D7" s="2" t="s">
        <v>8</v>
      </c>
      <c r="E7" s="2">
        <v>118000</v>
      </c>
      <c r="F7" s="8">
        <v>38</v>
      </c>
      <c r="G7" s="11">
        <f t="shared" si="1"/>
        <v>0.88228465289064317</v>
      </c>
      <c r="H7" s="2">
        <v>167800</v>
      </c>
      <c r="I7" s="2">
        <v>35700</v>
      </c>
      <c r="J7" s="2">
        <f t="shared" si="2"/>
        <v>203500</v>
      </c>
      <c r="K7" s="3">
        <f t="shared" si="3"/>
        <v>0.17542997542997543</v>
      </c>
      <c r="L7" s="4">
        <f t="shared" si="4"/>
        <v>139599.70515970516</v>
      </c>
      <c r="M7" s="4">
        <f t="shared" si="5"/>
        <v>29700.294840294842</v>
      </c>
      <c r="N7" s="2">
        <f t="shared" si="6"/>
        <v>169300</v>
      </c>
      <c r="O7" s="8">
        <v>92</v>
      </c>
      <c r="P7" s="8">
        <v>72</v>
      </c>
      <c r="Q7" s="8">
        <v>60</v>
      </c>
      <c r="R7" s="9">
        <f t="shared" si="7"/>
        <v>184.91999999999916</v>
      </c>
      <c r="S7" s="9">
        <f t="shared" si="0"/>
        <v>144.71999999999935</v>
      </c>
      <c r="T7" s="9">
        <f t="shared" si="0"/>
        <v>120.59999999999945</v>
      </c>
      <c r="U7" s="13">
        <f t="shared" si="8"/>
        <v>1.4888056380422205</v>
      </c>
      <c r="V7" s="13">
        <f t="shared" ref="V7" si="10">P7/(365*L7/1000000)</f>
        <v>1.4130421962348172</v>
      </c>
      <c r="W7" s="13">
        <f t="shared" si="9"/>
        <v>0.9709601987231874</v>
      </c>
    </row>
    <row r="8" spans="1:23" x14ac:dyDescent="0.25">
      <c r="O8" s="10"/>
      <c r="P8" s="10"/>
      <c r="Q8" s="10"/>
      <c r="R8" s="9">
        <f>SUM(R4:R7)</f>
        <v>652.46999999999719</v>
      </c>
      <c r="S8" s="9">
        <f t="shared" ref="S8:T8" si="11">SUM(S4:S7)</f>
        <v>594.39999999999748</v>
      </c>
      <c r="T8" s="9">
        <f t="shared" si="11"/>
        <v>616.42999999999734</v>
      </c>
      <c r="U8" s="13">
        <f>AVERAGE(U4:U7)</f>
        <v>1.535121135609598</v>
      </c>
      <c r="V8" s="13">
        <f t="shared" ref="V8:W8" si="12">AVERAGE(V4:V7)</f>
        <v>1.5941914666030059</v>
      </c>
      <c r="W8" s="13">
        <f t="shared" si="12"/>
        <v>1.4831441478109784</v>
      </c>
    </row>
    <row r="9" spans="1:23" x14ac:dyDescent="0.25">
      <c r="R9" t="s">
        <v>24</v>
      </c>
      <c r="S9" s="12">
        <f>(R8-S8)/R8</f>
        <v>8.9000260548377647E-2</v>
      </c>
      <c r="T9" s="12"/>
    </row>
  </sheetData>
  <mergeCells count="6">
    <mergeCell ref="R2:T2"/>
    <mergeCell ref="O2:Q2"/>
    <mergeCell ref="E2:G2"/>
    <mergeCell ref="U2:W2"/>
    <mergeCell ref="H2:J2"/>
    <mergeCell ref="L2:N2"/>
  </mergeCells>
  <pageMargins left="0.7" right="0.7" top="0.75" bottom="0.7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D31" sqref="D31"/>
    </sheetView>
  </sheetViews>
  <sheetFormatPr defaultRowHeight="15" x14ac:dyDescent="0.25"/>
  <sheetData>
    <row r="1" spans="1:13" x14ac:dyDescent="0.25">
      <c r="B1" s="30" t="s">
        <v>27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x14ac:dyDescent="0.25">
      <c r="A2" t="s">
        <v>26</v>
      </c>
      <c r="B2" s="14">
        <v>1</v>
      </c>
      <c r="C2">
        <v>2</v>
      </c>
      <c r="D2">
        <v>3</v>
      </c>
      <c r="E2">
        <v>4</v>
      </c>
    </row>
    <row r="3" spans="1:13" x14ac:dyDescent="0.25">
      <c r="A3" s="2">
        <v>2010</v>
      </c>
      <c r="B3" s="2">
        <v>160000</v>
      </c>
      <c r="C3" s="2">
        <v>155000</v>
      </c>
      <c r="D3" s="2">
        <v>147000</v>
      </c>
      <c r="E3" s="2">
        <v>118000</v>
      </c>
    </row>
    <row r="4" spans="1:13" x14ac:dyDescent="0.25">
      <c r="A4" s="2">
        <v>2011</v>
      </c>
      <c r="B4" s="2">
        <f>(($B$28-$B$3)/25)+B3</f>
        <v>163740</v>
      </c>
      <c r="C4" s="2">
        <f>(($C$28-$C$3)/25)+C3</f>
        <v>157772</v>
      </c>
      <c r="D4" s="2">
        <f>(($D$28-$D$3)/25)+D3</f>
        <v>150000</v>
      </c>
      <c r="E4" s="2">
        <f>(($E$28-$E$3)/25)+E3</f>
        <v>121420</v>
      </c>
    </row>
    <row r="5" spans="1:13" x14ac:dyDescent="0.25">
      <c r="A5" s="2">
        <v>2012</v>
      </c>
      <c r="B5" s="2">
        <f t="shared" ref="B5:B27" si="0">(($B$28-$B$3)/25)+B4</f>
        <v>167480</v>
      </c>
      <c r="C5" s="2">
        <f t="shared" ref="C5:C27" si="1">(($C$28-$C$3)/25)+C4</f>
        <v>160544</v>
      </c>
      <c r="D5" s="2">
        <f t="shared" ref="D5:D27" si="2">(($D$28-$D$3)/25)+D4</f>
        <v>153000</v>
      </c>
      <c r="E5" s="2">
        <f t="shared" ref="E5:E27" si="3">(($E$28-$E$3)/25)+E4</f>
        <v>124840</v>
      </c>
    </row>
    <row r="6" spans="1:13" x14ac:dyDescent="0.25">
      <c r="A6" s="2">
        <v>2013</v>
      </c>
      <c r="B6" s="2">
        <f t="shared" si="0"/>
        <v>171220</v>
      </c>
      <c r="C6" s="2">
        <f t="shared" si="1"/>
        <v>163316</v>
      </c>
      <c r="D6" s="2">
        <f t="shared" si="2"/>
        <v>156000</v>
      </c>
      <c r="E6" s="2">
        <f t="shared" si="3"/>
        <v>128260</v>
      </c>
    </row>
    <row r="7" spans="1:13" x14ac:dyDescent="0.25">
      <c r="A7" s="2">
        <v>2014</v>
      </c>
      <c r="B7" s="2">
        <f t="shared" si="0"/>
        <v>174960</v>
      </c>
      <c r="C7" s="2">
        <f t="shared" si="1"/>
        <v>166088</v>
      </c>
      <c r="D7" s="2">
        <f t="shared" si="2"/>
        <v>159000</v>
      </c>
      <c r="E7" s="2">
        <f t="shared" si="3"/>
        <v>131680</v>
      </c>
    </row>
    <row r="8" spans="1:13" x14ac:dyDescent="0.25">
      <c r="A8" s="2">
        <v>2015</v>
      </c>
      <c r="B8" s="2">
        <f t="shared" si="0"/>
        <v>178700</v>
      </c>
      <c r="C8" s="2">
        <f t="shared" si="1"/>
        <v>168860</v>
      </c>
      <c r="D8" s="2">
        <f t="shared" si="2"/>
        <v>162000</v>
      </c>
      <c r="E8" s="2">
        <f t="shared" si="3"/>
        <v>135100</v>
      </c>
    </row>
    <row r="9" spans="1:13" x14ac:dyDescent="0.25">
      <c r="A9" s="2">
        <v>2016</v>
      </c>
      <c r="B9" s="2">
        <f t="shared" si="0"/>
        <v>182440</v>
      </c>
      <c r="C9" s="2">
        <f t="shared" si="1"/>
        <v>171632</v>
      </c>
      <c r="D9" s="2">
        <f t="shared" si="2"/>
        <v>165000</v>
      </c>
      <c r="E9" s="2">
        <f t="shared" si="3"/>
        <v>138520</v>
      </c>
    </row>
    <row r="10" spans="1:13" x14ac:dyDescent="0.25">
      <c r="A10" s="2">
        <v>2017</v>
      </c>
      <c r="B10" s="2">
        <f t="shared" si="0"/>
        <v>186180</v>
      </c>
      <c r="C10" s="2">
        <f t="shared" si="1"/>
        <v>174404</v>
      </c>
      <c r="D10" s="2">
        <f t="shared" si="2"/>
        <v>168000</v>
      </c>
      <c r="E10" s="2">
        <f t="shared" si="3"/>
        <v>141940</v>
      </c>
    </row>
    <row r="11" spans="1:13" x14ac:dyDescent="0.25">
      <c r="A11" s="2">
        <v>2018</v>
      </c>
      <c r="B11" s="2">
        <f t="shared" si="0"/>
        <v>189920</v>
      </c>
      <c r="C11" s="2">
        <f t="shared" si="1"/>
        <v>177176</v>
      </c>
      <c r="D11" s="2">
        <f t="shared" si="2"/>
        <v>171000</v>
      </c>
      <c r="E11" s="2">
        <f t="shared" si="3"/>
        <v>145360</v>
      </c>
    </row>
    <row r="12" spans="1:13" x14ac:dyDescent="0.25">
      <c r="A12" s="2">
        <v>2019</v>
      </c>
      <c r="B12" s="2">
        <f t="shared" si="0"/>
        <v>193660</v>
      </c>
      <c r="C12" s="2">
        <f t="shared" si="1"/>
        <v>179948</v>
      </c>
      <c r="D12" s="2">
        <f t="shared" si="2"/>
        <v>174000</v>
      </c>
      <c r="E12" s="2">
        <f t="shared" si="3"/>
        <v>148780</v>
      </c>
    </row>
    <row r="13" spans="1:13" x14ac:dyDescent="0.25">
      <c r="A13" s="2">
        <v>2020</v>
      </c>
      <c r="B13" s="2">
        <f t="shared" si="0"/>
        <v>197400</v>
      </c>
      <c r="C13" s="2">
        <f t="shared" si="1"/>
        <v>182720</v>
      </c>
      <c r="D13" s="2">
        <f t="shared" si="2"/>
        <v>177000</v>
      </c>
      <c r="E13" s="2">
        <f t="shared" si="3"/>
        <v>152200</v>
      </c>
    </row>
    <row r="14" spans="1:13" x14ac:dyDescent="0.25">
      <c r="A14" s="2">
        <v>2021</v>
      </c>
      <c r="B14" s="2">
        <f t="shared" si="0"/>
        <v>201140</v>
      </c>
      <c r="C14" s="2">
        <f t="shared" si="1"/>
        <v>185492</v>
      </c>
      <c r="D14" s="2">
        <f t="shared" si="2"/>
        <v>180000</v>
      </c>
      <c r="E14" s="2">
        <f t="shared" si="3"/>
        <v>155620</v>
      </c>
    </row>
    <row r="15" spans="1:13" x14ac:dyDescent="0.25">
      <c r="A15" s="2">
        <v>2022</v>
      </c>
      <c r="B15" s="2">
        <f t="shared" si="0"/>
        <v>204880</v>
      </c>
      <c r="C15" s="2">
        <f t="shared" si="1"/>
        <v>188264</v>
      </c>
      <c r="D15" s="2">
        <f t="shared" si="2"/>
        <v>183000</v>
      </c>
      <c r="E15" s="2">
        <f t="shared" si="3"/>
        <v>159040</v>
      </c>
    </row>
    <row r="16" spans="1:13" x14ac:dyDescent="0.25">
      <c r="A16" s="2">
        <v>2023</v>
      </c>
      <c r="B16" s="2">
        <f t="shared" si="0"/>
        <v>208620</v>
      </c>
      <c r="C16" s="2">
        <f t="shared" si="1"/>
        <v>191036</v>
      </c>
      <c r="D16" s="2">
        <f t="shared" si="2"/>
        <v>186000</v>
      </c>
      <c r="E16" s="2">
        <f t="shared" si="3"/>
        <v>162460</v>
      </c>
    </row>
    <row r="17" spans="1:5" x14ac:dyDescent="0.25">
      <c r="A17" s="2">
        <v>2024</v>
      </c>
      <c r="B17" s="2">
        <f t="shared" si="0"/>
        <v>212360</v>
      </c>
      <c r="C17" s="2">
        <f t="shared" si="1"/>
        <v>193808</v>
      </c>
      <c r="D17" s="2">
        <f t="shared" si="2"/>
        <v>189000</v>
      </c>
      <c r="E17" s="2">
        <f t="shared" si="3"/>
        <v>165880</v>
      </c>
    </row>
    <row r="18" spans="1:5" x14ac:dyDescent="0.25">
      <c r="A18" s="2">
        <v>2025</v>
      </c>
      <c r="B18" s="2">
        <f t="shared" si="0"/>
        <v>216100</v>
      </c>
      <c r="C18" s="2">
        <f t="shared" si="1"/>
        <v>196580</v>
      </c>
      <c r="D18" s="2">
        <f t="shared" si="2"/>
        <v>192000</v>
      </c>
      <c r="E18" s="2">
        <f t="shared" si="3"/>
        <v>169300</v>
      </c>
    </row>
    <row r="19" spans="1:5" x14ac:dyDescent="0.25">
      <c r="A19" s="2">
        <v>2026</v>
      </c>
      <c r="B19" s="2">
        <f t="shared" si="0"/>
        <v>219840</v>
      </c>
      <c r="C19" s="2">
        <f t="shared" si="1"/>
        <v>199352</v>
      </c>
      <c r="D19" s="2">
        <f t="shared" si="2"/>
        <v>195000</v>
      </c>
      <c r="E19" s="2">
        <f t="shared" si="3"/>
        <v>172720</v>
      </c>
    </row>
    <row r="20" spans="1:5" x14ac:dyDescent="0.25">
      <c r="A20" s="2">
        <v>2027</v>
      </c>
      <c r="B20" s="2">
        <f t="shared" si="0"/>
        <v>223580</v>
      </c>
      <c r="C20" s="2">
        <f t="shared" si="1"/>
        <v>202124</v>
      </c>
      <c r="D20" s="2">
        <f t="shared" si="2"/>
        <v>198000</v>
      </c>
      <c r="E20" s="2">
        <f t="shared" si="3"/>
        <v>176140</v>
      </c>
    </row>
    <row r="21" spans="1:5" x14ac:dyDescent="0.25">
      <c r="A21" s="2">
        <v>2028</v>
      </c>
      <c r="B21" s="2">
        <f t="shared" si="0"/>
        <v>227320</v>
      </c>
      <c r="C21" s="2">
        <f t="shared" si="1"/>
        <v>204896</v>
      </c>
      <c r="D21" s="2">
        <f t="shared" si="2"/>
        <v>201000</v>
      </c>
      <c r="E21" s="2">
        <f t="shared" si="3"/>
        <v>179560</v>
      </c>
    </row>
    <row r="22" spans="1:5" x14ac:dyDescent="0.25">
      <c r="A22" s="2">
        <v>2029</v>
      </c>
      <c r="B22" s="2">
        <f t="shared" si="0"/>
        <v>231060</v>
      </c>
      <c r="C22" s="2">
        <f t="shared" si="1"/>
        <v>207668</v>
      </c>
      <c r="D22" s="2">
        <f t="shared" si="2"/>
        <v>204000</v>
      </c>
      <c r="E22" s="2">
        <f t="shared" si="3"/>
        <v>182980</v>
      </c>
    </row>
    <row r="23" spans="1:5" x14ac:dyDescent="0.25">
      <c r="A23" s="2">
        <v>2030</v>
      </c>
      <c r="B23" s="2">
        <f t="shared" si="0"/>
        <v>234800</v>
      </c>
      <c r="C23" s="2">
        <f t="shared" si="1"/>
        <v>210440</v>
      </c>
      <c r="D23" s="2">
        <f t="shared" si="2"/>
        <v>207000</v>
      </c>
      <c r="E23" s="2">
        <f t="shared" si="3"/>
        <v>186400</v>
      </c>
    </row>
    <row r="24" spans="1:5" x14ac:dyDescent="0.25">
      <c r="A24" s="2">
        <v>2031</v>
      </c>
      <c r="B24" s="2">
        <f t="shared" si="0"/>
        <v>238540</v>
      </c>
      <c r="C24" s="2">
        <f t="shared" si="1"/>
        <v>213212</v>
      </c>
      <c r="D24" s="2">
        <f t="shared" si="2"/>
        <v>210000</v>
      </c>
      <c r="E24" s="2">
        <f t="shared" si="3"/>
        <v>189820</v>
      </c>
    </row>
    <row r="25" spans="1:5" x14ac:dyDescent="0.25">
      <c r="A25" s="2">
        <v>2032</v>
      </c>
      <c r="B25" s="2">
        <f t="shared" si="0"/>
        <v>242280</v>
      </c>
      <c r="C25" s="2">
        <f t="shared" si="1"/>
        <v>215984</v>
      </c>
      <c r="D25" s="2">
        <f t="shared" si="2"/>
        <v>213000</v>
      </c>
      <c r="E25" s="2">
        <f t="shared" si="3"/>
        <v>193240</v>
      </c>
    </row>
    <row r="26" spans="1:5" x14ac:dyDescent="0.25">
      <c r="A26" s="2">
        <v>2033</v>
      </c>
      <c r="B26" s="2">
        <f t="shared" si="0"/>
        <v>246020</v>
      </c>
      <c r="C26" s="2">
        <f t="shared" si="1"/>
        <v>218756</v>
      </c>
      <c r="D26" s="2">
        <f t="shared" si="2"/>
        <v>216000</v>
      </c>
      <c r="E26" s="2">
        <f t="shared" si="3"/>
        <v>196660</v>
      </c>
    </row>
    <row r="27" spans="1:5" x14ac:dyDescent="0.25">
      <c r="A27" s="2">
        <v>2034</v>
      </c>
      <c r="B27" s="2">
        <f t="shared" si="0"/>
        <v>249760</v>
      </c>
      <c r="C27" s="2">
        <f t="shared" si="1"/>
        <v>221528</v>
      </c>
      <c r="D27" s="2">
        <f t="shared" si="2"/>
        <v>219000</v>
      </c>
      <c r="E27" s="2">
        <f t="shared" si="3"/>
        <v>200080</v>
      </c>
    </row>
    <row r="28" spans="1:5" x14ac:dyDescent="0.25">
      <c r="A28" s="2">
        <v>2035</v>
      </c>
      <c r="B28" s="2">
        <v>253500</v>
      </c>
      <c r="C28" s="2">
        <v>224300</v>
      </c>
      <c r="D28" s="2">
        <v>222000</v>
      </c>
      <c r="E28" s="2">
        <v>203500</v>
      </c>
    </row>
  </sheetData>
  <mergeCells count="5">
    <mergeCell ref="B1:E1"/>
    <mergeCell ref="F1:G1"/>
    <mergeCell ref="H1:I1"/>
    <mergeCell ref="J1:K1"/>
    <mergeCell ref="L1:M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tabSelected="1" topLeftCell="N1" workbookViewId="0">
      <selection activeCell="V35" sqref="V35"/>
    </sheetView>
  </sheetViews>
  <sheetFormatPr defaultRowHeight="15" x14ac:dyDescent="0.25"/>
  <cols>
    <col min="26" max="26" width="14.140625" customWidth="1"/>
    <col min="33" max="34" width="10.7109375" customWidth="1"/>
  </cols>
  <sheetData>
    <row r="1" spans="1:38" x14ac:dyDescent="0.25">
      <c r="F1" s="26" t="s">
        <v>29</v>
      </c>
      <c r="G1" s="26"/>
      <c r="H1" s="26" t="s">
        <v>30</v>
      </c>
      <c r="I1" s="26"/>
      <c r="J1" s="26"/>
      <c r="K1" s="26"/>
      <c r="L1" s="26"/>
      <c r="M1" s="26"/>
      <c r="N1" s="26" t="s">
        <v>31</v>
      </c>
      <c r="O1" s="26"/>
      <c r="P1" s="26"/>
      <c r="Q1" s="26"/>
      <c r="R1" s="26"/>
      <c r="S1" s="26"/>
      <c r="T1" s="26" t="s">
        <v>32</v>
      </c>
      <c r="U1" s="26"/>
      <c r="V1" s="26"/>
      <c r="W1" s="26"/>
      <c r="X1" s="26"/>
      <c r="Y1" s="26"/>
      <c r="AA1" s="26" t="s">
        <v>41</v>
      </c>
      <c r="AB1" s="26"/>
      <c r="AC1" s="26"/>
      <c r="AD1" s="26"/>
      <c r="AE1" s="26"/>
      <c r="AF1" s="26"/>
    </row>
    <row r="2" spans="1:38" x14ac:dyDescent="0.25">
      <c r="B2" s="30" t="s">
        <v>27</v>
      </c>
      <c r="C2" s="30"/>
      <c r="D2" s="30"/>
      <c r="E2" s="30"/>
      <c r="F2" s="2">
        <v>217.01</v>
      </c>
      <c r="G2" s="2">
        <v>218.45</v>
      </c>
      <c r="H2" s="27">
        <v>218.46</v>
      </c>
      <c r="I2" s="28"/>
      <c r="J2" s="29"/>
      <c r="K2" s="27">
        <v>219.85</v>
      </c>
      <c r="L2" s="28"/>
      <c r="M2" s="29"/>
      <c r="N2" s="27">
        <v>219.86</v>
      </c>
      <c r="O2" s="28"/>
      <c r="P2" s="29"/>
      <c r="Q2" s="27">
        <v>221.02</v>
      </c>
      <c r="R2" s="28"/>
      <c r="S2" s="29"/>
      <c r="T2" s="27">
        <v>221.03</v>
      </c>
      <c r="U2" s="28"/>
      <c r="V2" s="29"/>
      <c r="W2" s="26">
        <v>223.04</v>
      </c>
      <c r="X2" s="26"/>
      <c r="Y2" s="26"/>
      <c r="AA2" s="26" t="s">
        <v>30</v>
      </c>
      <c r="AB2" s="26"/>
      <c r="AC2" s="26" t="s">
        <v>31</v>
      </c>
      <c r="AD2" s="26"/>
      <c r="AE2" s="26" t="s">
        <v>32</v>
      </c>
      <c r="AF2" s="26"/>
      <c r="AG2" s="26" t="s">
        <v>24</v>
      </c>
      <c r="AH2" s="26" t="s">
        <v>48</v>
      </c>
      <c r="AI2" s="26"/>
      <c r="AJ2" s="26"/>
      <c r="AK2" s="26"/>
      <c r="AL2" s="26"/>
    </row>
    <row r="3" spans="1:38" x14ac:dyDescent="0.25">
      <c r="B3" s="16"/>
      <c r="C3" s="16"/>
      <c r="D3" s="16"/>
      <c r="E3" s="16"/>
      <c r="F3" s="21"/>
      <c r="G3" s="21"/>
      <c r="H3" s="26" t="s">
        <v>13</v>
      </c>
      <c r="I3" s="26"/>
      <c r="J3" s="26"/>
      <c r="K3" s="26" t="s">
        <v>28</v>
      </c>
      <c r="L3" s="26"/>
      <c r="M3" s="26"/>
      <c r="N3" s="26" t="s">
        <v>13</v>
      </c>
      <c r="O3" s="26"/>
      <c r="P3" s="26"/>
      <c r="Q3" s="26" t="s">
        <v>28</v>
      </c>
      <c r="R3" s="26"/>
      <c r="S3" s="26"/>
      <c r="T3" s="26" t="s">
        <v>13</v>
      </c>
      <c r="U3" s="26"/>
      <c r="V3" s="26"/>
      <c r="W3" s="26" t="s">
        <v>28</v>
      </c>
      <c r="X3" s="26"/>
      <c r="Y3" s="26"/>
      <c r="AA3" s="15"/>
      <c r="AB3" s="15"/>
      <c r="AC3" s="15"/>
      <c r="AD3" s="15"/>
      <c r="AE3" s="15"/>
      <c r="AF3" s="15"/>
      <c r="AG3" s="26"/>
      <c r="AH3" s="26"/>
      <c r="AI3" s="26"/>
      <c r="AJ3" s="26"/>
      <c r="AK3" s="26"/>
      <c r="AL3" s="26"/>
    </row>
    <row r="4" spans="1:38" x14ac:dyDescent="0.25">
      <c r="A4" t="s">
        <v>26</v>
      </c>
      <c r="B4" s="14">
        <v>1</v>
      </c>
      <c r="C4">
        <v>2</v>
      </c>
      <c r="D4">
        <v>3</v>
      </c>
      <c r="E4">
        <v>4</v>
      </c>
      <c r="F4" t="s">
        <v>13</v>
      </c>
      <c r="G4" t="s">
        <v>28</v>
      </c>
      <c r="H4" s="2" t="s">
        <v>11</v>
      </c>
      <c r="I4" s="2" t="s">
        <v>44</v>
      </c>
      <c r="J4" s="2" t="s">
        <v>45</v>
      </c>
      <c r="K4" s="2" t="s">
        <v>11</v>
      </c>
      <c r="L4" s="2" t="s">
        <v>44</v>
      </c>
      <c r="M4" s="2" t="s">
        <v>45</v>
      </c>
      <c r="N4" s="2" t="s">
        <v>11</v>
      </c>
      <c r="O4" s="2" t="s">
        <v>44</v>
      </c>
      <c r="P4" s="2" t="s">
        <v>45</v>
      </c>
      <c r="Q4" s="2" t="s">
        <v>11</v>
      </c>
      <c r="R4" s="2" t="s">
        <v>44</v>
      </c>
      <c r="S4" s="2" t="s">
        <v>45</v>
      </c>
      <c r="T4" s="2" t="s">
        <v>11</v>
      </c>
      <c r="U4" s="2" t="s">
        <v>44</v>
      </c>
      <c r="V4" s="2" t="s">
        <v>45</v>
      </c>
      <c r="W4" s="2" t="s">
        <v>11</v>
      </c>
      <c r="X4" s="2" t="s">
        <v>44</v>
      </c>
      <c r="Y4" s="2" t="s">
        <v>45</v>
      </c>
      <c r="Z4" s="2" t="s">
        <v>26</v>
      </c>
      <c r="AA4" s="2" t="s">
        <v>13</v>
      </c>
      <c r="AB4" s="2" t="s">
        <v>28</v>
      </c>
      <c r="AC4" s="2" t="s">
        <v>13</v>
      </c>
      <c r="AD4" s="2" t="s">
        <v>28</v>
      </c>
      <c r="AE4" s="2" t="s">
        <v>13</v>
      </c>
      <c r="AF4" s="2" t="s">
        <v>28</v>
      </c>
      <c r="AG4" s="26"/>
      <c r="AH4" s="2" t="s">
        <v>26</v>
      </c>
      <c r="AI4" s="24" t="s">
        <v>44</v>
      </c>
      <c r="AJ4" s="24" t="s">
        <v>45</v>
      </c>
      <c r="AK4" s="24" t="s">
        <v>46</v>
      </c>
      <c r="AL4" s="24" t="s">
        <v>47</v>
      </c>
    </row>
    <row r="5" spans="1:38" x14ac:dyDescent="0.25">
      <c r="A5" s="2">
        <v>2010</v>
      </c>
      <c r="B5" s="2">
        <v>160000</v>
      </c>
      <c r="C5" s="2">
        <v>155000</v>
      </c>
      <c r="D5" s="2">
        <v>147000</v>
      </c>
      <c r="E5" s="2">
        <v>118000</v>
      </c>
      <c r="F5">
        <v>90</v>
      </c>
      <c r="H5" s="22">
        <v>63</v>
      </c>
      <c r="I5" s="22"/>
      <c r="J5" s="22"/>
      <c r="K5" s="2"/>
      <c r="L5" s="2"/>
      <c r="M5" s="2"/>
      <c r="N5" s="22">
        <v>52</v>
      </c>
      <c r="O5" s="22"/>
      <c r="P5" s="22"/>
      <c r="Q5" s="2"/>
      <c r="R5" s="2"/>
      <c r="S5" s="2"/>
      <c r="T5" s="22">
        <v>38</v>
      </c>
      <c r="U5" s="22"/>
      <c r="V5" s="22"/>
      <c r="W5" s="2"/>
      <c r="X5" s="2"/>
      <c r="Y5" s="2"/>
      <c r="Z5" s="2">
        <v>2010</v>
      </c>
      <c r="AA5" s="18">
        <v>63</v>
      </c>
      <c r="AB5" s="2"/>
      <c r="AC5" s="18">
        <v>52</v>
      </c>
      <c r="AD5" s="2"/>
      <c r="AE5" s="18">
        <v>38</v>
      </c>
      <c r="AF5" s="2"/>
      <c r="AG5" s="2"/>
      <c r="AH5" s="2">
        <v>2010</v>
      </c>
      <c r="AI5" s="2"/>
      <c r="AJ5" s="2"/>
      <c r="AK5" s="2"/>
      <c r="AL5" s="2"/>
    </row>
    <row r="6" spans="1:38" x14ac:dyDescent="0.25">
      <c r="A6" s="2">
        <v>2011</v>
      </c>
      <c r="B6" s="2">
        <v>164000</v>
      </c>
      <c r="C6" s="2">
        <v>158000</v>
      </c>
      <c r="D6" s="2">
        <f>(($D$30-$D$5)/25)+D5</f>
        <v>150000</v>
      </c>
      <c r="E6" s="2">
        <v>121500</v>
      </c>
      <c r="H6" s="22"/>
      <c r="I6" s="22"/>
      <c r="J6" s="22"/>
      <c r="K6" s="2"/>
      <c r="L6" s="2"/>
      <c r="M6" s="2"/>
      <c r="N6" s="22"/>
      <c r="O6" s="22"/>
      <c r="P6" s="22"/>
      <c r="Q6" s="2"/>
      <c r="R6" s="2"/>
      <c r="S6" s="2"/>
      <c r="T6" s="22"/>
      <c r="U6" s="22"/>
      <c r="V6" s="22"/>
      <c r="W6" s="2"/>
      <c r="X6" s="2"/>
      <c r="Y6" s="2"/>
      <c r="Z6" s="2">
        <v>2011</v>
      </c>
      <c r="AA6" s="18"/>
      <c r="AB6" s="2"/>
      <c r="AC6" s="18"/>
      <c r="AD6" s="2"/>
      <c r="AE6" s="18"/>
      <c r="AF6" s="2"/>
      <c r="AG6" s="2"/>
      <c r="AH6" s="2">
        <v>2011</v>
      </c>
      <c r="AI6" s="2"/>
      <c r="AJ6" s="2"/>
      <c r="AK6" s="2"/>
      <c r="AL6" s="2"/>
    </row>
    <row r="7" spans="1:38" x14ac:dyDescent="0.25">
      <c r="A7" s="2">
        <v>2012</v>
      </c>
      <c r="B7" s="2">
        <v>167500</v>
      </c>
      <c r="C7" s="2">
        <v>160500</v>
      </c>
      <c r="D7" s="2">
        <f t="shared" ref="D7:D29" si="0">(($D$30-$D$5)/25)+D6</f>
        <v>153000</v>
      </c>
      <c r="E7" s="2">
        <v>125000</v>
      </c>
      <c r="H7" s="22"/>
      <c r="I7" s="22"/>
      <c r="J7" s="22"/>
      <c r="K7" s="2"/>
      <c r="L7" s="2"/>
      <c r="M7" s="2"/>
      <c r="N7" s="22"/>
      <c r="O7" s="22"/>
      <c r="P7" s="22"/>
      <c r="Q7" s="2"/>
      <c r="R7" s="2"/>
      <c r="S7" s="2"/>
      <c r="T7" s="22"/>
      <c r="U7" s="22"/>
      <c r="V7" s="22"/>
      <c r="W7" s="2"/>
      <c r="X7" s="2"/>
      <c r="Y7" s="2"/>
      <c r="Z7" s="2">
        <v>2012</v>
      </c>
      <c r="AA7" s="18"/>
      <c r="AB7" s="2"/>
      <c r="AC7" s="18"/>
      <c r="AD7" s="2"/>
      <c r="AE7" s="18"/>
      <c r="AF7" s="2"/>
      <c r="AG7" s="2"/>
      <c r="AH7" s="2">
        <v>2012</v>
      </c>
      <c r="AI7" s="2"/>
      <c r="AJ7" s="2"/>
      <c r="AK7" s="2"/>
      <c r="AL7" s="2"/>
    </row>
    <row r="8" spans="1:38" x14ac:dyDescent="0.25">
      <c r="A8" s="2">
        <v>2013</v>
      </c>
      <c r="B8" s="2">
        <v>171000</v>
      </c>
      <c r="C8" s="2">
        <v>163500</v>
      </c>
      <c r="D8" s="2">
        <f t="shared" si="0"/>
        <v>156000</v>
      </c>
      <c r="E8" s="2">
        <v>128500</v>
      </c>
      <c r="H8" s="22"/>
      <c r="I8" s="22"/>
      <c r="J8" s="22"/>
      <c r="K8" s="2"/>
      <c r="L8" s="2"/>
      <c r="M8" s="2"/>
      <c r="N8" s="22"/>
      <c r="O8" s="22"/>
      <c r="P8" s="22"/>
      <c r="Q8" s="2"/>
      <c r="R8" s="2"/>
      <c r="S8" s="2"/>
      <c r="T8" s="22"/>
      <c r="U8" s="22"/>
      <c r="V8" s="22"/>
      <c r="W8" s="2"/>
      <c r="X8" s="2"/>
      <c r="Y8" s="2"/>
      <c r="Z8" s="2">
        <v>2013</v>
      </c>
      <c r="AA8" s="18"/>
      <c r="AB8" s="2"/>
      <c r="AC8" s="18"/>
      <c r="AD8" s="2"/>
      <c r="AE8" s="18"/>
      <c r="AF8" s="2"/>
      <c r="AG8" s="2"/>
      <c r="AH8" s="2">
        <v>2013</v>
      </c>
      <c r="AI8" s="2"/>
      <c r="AJ8" s="2"/>
      <c r="AK8" s="2"/>
      <c r="AL8" s="2"/>
    </row>
    <row r="9" spans="1:38" x14ac:dyDescent="0.25">
      <c r="A9" s="2">
        <v>2014</v>
      </c>
      <c r="B9" s="2">
        <v>175000</v>
      </c>
      <c r="C9" s="2">
        <v>166000</v>
      </c>
      <c r="D9" s="2">
        <f t="shared" si="0"/>
        <v>159000</v>
      </c>
      <c r="E9" s="2">
        <v>132000</v>
      </c>
      <c r="H9" s="22"/>
      <c r="I9" s="22"/>
      <c r="J9" s="22"/>
      <c r="K9" s="2"/>
      <c r="L9" s="2"/>
      <c r="M9" s="2"/>
      <c r="N9" s="22"/>
      <c r="O9" s="22"/>
      <c r="P9" s="22"/>
      <c r="Q9" s="2"/>
      <c r="R9" s="2"/>
      <c r="S9" s="2"/>
      <c r="T9" s="22"/>
      <c r="U9" s="22"/>
      <c r="V9" s="22"/>
      <c r="W9" s="2"/>
      <c r="X9" s="2"/>
      <c r="Y9" s="2"/>
      <c r="Z9" s="2">
        <v>2014</v>
      </c>
      <c r="AA9" s="18"/>
      <c r="AB9" s="2"/>
      <c r="AC9" s="18"/>
      <c r="AD9" s="2"/>
      <c r="AE9" s="18"/>
      <c r="AF9" s="2"/>
      <c r="AG9" s="2"/>
      <c r="AH9" s="2">
        <v>2014</v>
      </c>
      <c r="AI9" s="2"/>
      <c r="AJ9" s="2"/>
      <c r="AK9" s="2"/>
      <c r="AL9" s="2"/>
    </row>
    <row r="10" spans="1:38" x14ac:dyDescent="0.25">
      <c r="A10" s="2">
        <v>2015</v>
      </c>
      <c r="B10" s="2">
        <v>179000</v>
      </c>
      <c r="C10" s="2">
        <v>169000</v>
      </c>
      <c r="D10" s="2">
        <f t="shared" si="0"/>
        <v>162000</v>
      </c>
      <c r="E10" s="2">
        <v>135000</v>
      </c>
      <c r="H10" s="22">
        <v>89</v>
      </c>
      <c r="I10" s="23">
        <f>H10-J10</f>
        <v>66.75</v>
      </c>
      <c r="J10" s="23">
        <f>IF(C10&lt;126000,H10*0.3,H10*0.25)</f>
        <v>22.25</v>
      </c>
      <c r="K10" s="2">
        <v>67</v>
      </c>
      <c r="L10" s="4">
        <f>K10-M10</f>
        <v>46.900000000000006</v>
      </c>
      <c r="M10" s="4">
        <f>IF(C10&lt;175000,K10*0.3,K10*0.2)</f>
        <v>20.099999999999998</v>
      </c>
      <c r="N10" s="22">
        <v>88</v>
      </c>
      <c r="O10" s="23">
        <f>N10-P10</f>
        <v>66</v>
      </c>
      <c r="P10" s="23">
        <f>IF(D10&lt;126000,N10*0.3,N10*0.25)</f>
        <v>22</v>
      </c>
      <c r="Q10" s="2">
        <v>58</v>
      </c>
      <c r="R10" s="4">
        <f>Q10-S10</f>
        <v>40.6</v>
      </c>
      <c r="S10" s="4">
        <f>IF(D10&lt;175000,Q10*0.3,Q10*0.2)</f>
        <v>17.399999999999999</v>
      </c>
      <c r="T10" s="22">
        <v>72</v>
      </c>
      <c r="U10" s="23">
        <f>T10-V10</f>
        <v>54</v>
      </c>
      <c r="V10" s="23">
        <f>IF(E10&lt;126000,T10*0.3,T10*0.25)</f>
        <v>18</v>
      </c>
      <c r="W10" s="2">
        <v>55</v>
      </c>
      <c r="X10" s="4">
        <f>W10-Y10</f>
        <v>38.5</v>
      </c>
      <c r="Y10" s="4">
        <f>IF(E10&lt;175000,W10*0.3,W10*0.2)</f>
        <v>16.5</v>
      </c>
      <c r="Z10" s="2">
        <v>2015</v>
      </c>
      <c r="AA10" s="18">
        <f>ROUNDUP(H10*($K$2-$H$2),0)</f>
        <v>124</v>
      </c>
      <c r="AB10" s="2">
        <f t="shared" ref="AB10:AB20" si="1">ROUNDUP(K10*($K$2-$H$2),0)</f>
        <v>94</v>
      </c>
      <c r="AC10" s="18">
        <f>ROUNDUP(N10*($Q$2-$N$2),0)</f>
        <v>103</v>
      </c>
      <c r="AD10" s="2">
        <f>ROUNDUP(Q10*($Q$2-$N$2),0)</f>
        <v>68</v>
      </c>
      <c r="AE10" s="18">
        <f t="shared" ref="AE10:AE20" si="2">ROUNDUP(T10*($W$2-$T$2),0)</f>
        <v>145</v>
      </c>
      <c r="AF10" s="2">
        <f>ROUNDUP(W10*($W$2-$T$2),0)</f>
        <v>111</v>
      </c>
      <c r="AG10" s="2">
        <f>(AB10-AA10)+(AD10-AC10)+(AF10-AE10)</f>
        <v>-99</v>
      </c>
      <c r="AH10" s="2">
        <v>2015</v>
      </c>
      <c r="AI10" s="25">
        <f>($K$2-$H$2)*(L10-I10)+($Q$2-$N$2)*(R10-O10)+($W$2-$T$2)*(X10-U10)</f>
        <v>-88.210499999999499</v>
      </c>
      <c r="AJ10" s="25">
        <f>($K$2-$H$2)*(M10-J10)+($Q$2-$N$2)*(S10-P10)+($W$2-$T$2)*(Y10-V10)</f>
        <v>-11.339499999999946</v>
      </c>
      <c r="AK10" s="25">
        <f>AJ10-AL10</f>
        <v>-10.841749999999948</v>
      </c>
      <c r="AL10" s="25">
        <f>(AJ10+AI10)*0.005</f>
        <v>-0.49774999999999725</v>
      </c>
    </row>
    <row r="11" spans="1:38" x14ac:dyDescent="0.25">
      <c r="A11" s="2">
        <v>2016</v>
      </c>
      <c r="B11" s="2">
        <v>182500</v>
      </c>
      <c r="C11" s="2">
        <v>172000</v>
      </c>
      <c r="D11" s="2">
        <f t="shared" si="0"/>
        <v>165000</v>
      </c>
      <c r="E11" s="2">
        <v>138500</v>
      </c>
      <c r="H11" s="22">
        <v>91</v>
      </c>
      <c r="I11" s="23">
        <f t="shared" ref="I11:I30" si="3">H11-J11</f>
        <v>68.25</v>
      </c>
      <c r="J11" s="23">
        <f t="shared" ref="J11:J30" si="4">IF(C11&lt;126000,H11*0.3,H11*0.25)</f>
        <v>22.75</v>
      </c>
      <c r="K11" s="2">
        <v>73</v>
      </c>
      <c r="L11" s="4">
        <f t="shared" ref="L11:L30" si="5">K11-M11</f>
        <v>51.1</v>
      </c>
      <c r="M11" s="4">
        <f t="shared" ref="M11:M30" si="6">IF(C11&lt;175000,K11*0.3,K11*0.2)</f>
        <v>21.9</v>
      </c>
      <c r="N11" s="22">
        <v>90</v>
      </c>
      <c r="O11" s="23">
        <f t="shared" ref="O11:O30" si="7">N11-P11</f>
        <v>67.5</v>
      </c>
      <c r="P11" s="23">
        <f t="shared" ref="P11:P30" si="8">IF(D11&lt;126000,N11*0.3,N11*0.25)</f>
        <v>22.5</v>
      </c>
      <c r="Q11" s="2">
        <v>63</v>
      </c>
      <c r="R11" s="4">
        <f t="shared" ref="R11:R30" si="9">Q11-S11</f>
        <v>44.1</v>
      </c>
      <c r="S11" s="4">
        <f t="shared" ref="S11:S30" si="10">IF(D11&lt;175000,Q11*0.3,Q11*0.2)</f>
        <v>18.899999999999999</v>
      </c>
      <c r="T11" s="22">
        <v>73</v>
      </c>
      <c r="U11" s="23">
        <f t="shared" ref="U11:U30" si="11">T11-V11</f>
        <v>54.75</v>
      </c>
      <c r="V11" s="23">
        <f t="shared" ref="V11:V30" si="12">IF(E11&lt;126000,T11*0.3,T11*0.25)</f>
        <v>18.25</v>
      </c>
      <c r="W11" s="2">
        <v>52</v>
      </c>
      <c r="X11" s="4">
        <f t="shared" ref="X11:X30" si="13">W11-Y11</f>
        <v>36.4</v>
      </c>
      <c r="Y11" s="4">
        <f t="shared" ref="Y11:Y30" si="14">IF(E11&lt;175000,W11*0.3,W11*0.2)</f>
        <v>15.6</v>
      </c>
      <c r="Z11" s="2">
        <v>2016</v>
      </c>
      <c r="AA11" s="18">
        <f t="shared" ref="AA11:AA20" si="15">ROUNDUP(H11*($K$2-$H$2),0)</f>
        <v>127</v>
      </c>
      <c r="AB11" s="2">
        <f t="shared" si="1"/>
        <v>102</v>
      </c>
      <c r="AC11" s="18">
        <f>ROUNDUP(N11*($Q$2-$N$2),0)</f>
        <v>105</v>
      </c>
      <c r="AD11" s="2">
        <f t="shared" ref="AD11:AD20" si="16">ROUNDUP(Q11*($Q$2-$N$2),0)</f>
        <v>74</v>
      </c>
      <c r="AE11" s="18">
        <f t="shared" si="2"/>
        <v>147</v>
      </c>
      <c r="AF11" s="2">
        <f t="shared" ref="AF11:AF20" si="17">ROUNDUP(W11*($W$2-$T$2),0)</f>
        <v>105</v>
      </c>
      <c r="AG11" s="2">
        <f t="shared" ref="AG11:AG30" si="18">(AB11-AA11)+(AD11-AC11)+(AF11-AE11)</f>
        <v>-98</v>
      </c>
      <c r="AH11" s="2">
        <v>2016</v>
      </c>
      <c r="AI11" s="25">
        <f t="shared" ref="AI11:AI30" si="19">($K$2-$H$2)*(L11-I11)+($Q$2-$N$2)*(R11-O11)+($W$2-$T$2)*(X11-U11)</f>
        <v>-87.865999999999531</v>
      </c>
      <c r="AJ11" s="25">
        <f t="shared" ref="AJ11:AJ30" si="20">($K$2-$H$2)*(M11-J11)+($Q$2-$N$2)*(S11-P11)+($W$2-$T$2)*(Y11-V11)</f>
        <v>-10.683999999999957</v>
      </c>
      <c r="AK11" s="25">
        <f t="shared" ref="AK11:AK30" si="21">AJ11-AL11</f>
        <v>-10.191249999999959</v>
      </c>
      <c r="AL11" s="25">
        <f t="shared" ref="AL11:AL30" si="22">(AJ11+AI11)*0.005</f>
        <v>-0.49274999999999741</v>
      </c>
    </row>
    <row r="12" spans="1:38" x14ac:dyDescent="0.25">
      <c r="A12" s="2">
        <v>2017</v>
      </c>
      <c r="B12" s="2">
        <v>186000</v>
      </c>
      <c r="C12" s="2">
        <v>174500</v>
      </c>
      <c r="D12" s="2">
        <f t="shared" si="0"/>
        <v>168000</v>
      </c>
      <c r="E12" s="2">
        <v>142000</v>
      </c>
      <c r="H12" s="22">
        <v>92</v>
      </c>
      <c r="I12" s="23">
        <f t="shared" si="3"/>
        <v>69</v>
      </c>
      <c r="J12" s="23">
        <f t="shared" si="4"/>
        <v>23</v>
      </c>
      <c r="K12" s="2">
        <v>75</v>
      </c>
      <c r="L12" s="4">
        <f t="shared" si="5"/>
        <v>52.5</v>
      </c>
      <c r="M12" s="4">
        <f t="shared" si="6"/>
        <v>22.5</v>
      </c>
      <c r="N12" s="22">
        <v>91</v>
      </c>
      <c r="O12" s="23">
        <f t="shared" si="7"/>
        <v>68.25</v>
      </c>
      <c r="P12" s="23">
        <f t="shared" si="8"/>
        <v>22.75</v>
      </c>
      <c r="Q12" s="2">
        <v>67</v>
      </c>
      <c r="R12" s="4">
        <f t="shared" si="9"/>
        <v>46.900000000000006</v>
      </c>
      <c r="S12" s="4">
        <f t="shared" si="10"/>
        <v>20.099999999999998</v>
      </c>
      <c r="T12" s="22">
        <v>75</v>
      </c>
      <c r="U12" s="23">
        <f t="shared" si="11"/>
        <v>56.25</v>
      </c>
      <c r="V12" s="23">
        <f t="shared" si="12"/>
        <v>18.75</v>
      </c>
      <c r="W12" s="2">
        <v>51</v>
      </c>
      <c r="X12" s="4">
        <f t="shared" si="13"/>
        <v>35.700000000000003</v>
      </c>
      <c r="Y12" s="4">
        <f t="shared" si="14"/>
        <v>15.299999999999999</v>
      </c>
      <c r="Z12" s="2">
        <v>2017</v>
      </c>
      <c r="AA12" s="18">
        <f t="shared" si="15"/>
        <v>128</v>
      </c>
      <c r="AB12" s="2">
        <f t="shared" si="1"/>
        <v>105</v>
      </c>
      <c r="AC12" s="18">
        <f t="shared" ref="AC12:AC20" si="23">ROUNDUP(N12*($Q$2-$N$2),0)</f>
        <v>106</v>
      </c>
      <c r="AD12" s="2">
        <f t="shared" si="16"/>
        <v>78</v>
      </c>
      <c r="AE12" s="18">
        <f t="shared" si="2"/>
        <v>151</v>
      </c>
      <c r="AF12" s="2">
        <f t="shared" si="17"/>
        <v>103</v>
      </c>
      <c r="AG12" s="2">
        <f t="shared" si="18"/>
        <v>-99</v>
      </c>
      <c r="AH12" s="2">
        <v>2017</v>
      </c>
      <c r="AI12" s="25">
        <f t="shared" si="19"/>
        <v>-89.006499999999505</v>
      </c>
      <c r="AJ12" s="25">
        <f t="shared" si="20"/>
        <v>-10.703499999999957</v>
      </c>
      <c r="AK12" s="25">
        <f t="shared" si="21"/>
        <v>-10.204949999999959</v>
      </c>
      <c r="AL12" s="25">
        <f t="shared" si="22"/>
        <v>-0.49854999999999733</v>
      </c>
    </row>
    <row r="13" spans="1:38" x14ac:dyDescent="0.25">
      <c r="A13" s="2">
        <v>2018</v>
      </c>
      <c r="B13" s="2">
        <v>190000</v>
      </c>
      <c r="C13" s="2">
        <v>177000</v>
      </c>
      <c r="D13" s="2">
        <f t="shared" si="0"/>
        <v>171000</v>
      </c>
      <c r="E13" s="2">
        <v>145500</v>
      </c>
      <c r="H13" s="22">
        <v>92</v>
      </c>
      <c r="I13" s="23">
        <f t="shared" si="3"/>
        <v>69</v>
      </c>
      <c r="J13" s="23">
        <f t="shared" si="4"/>
        <v>23</v>
      </c>
      <c r="K13" s="2">
        <v>80</v>
      </c>
      <c r="L13" s="4">
        <f t="shared" si="5"/>
        <v>64</v>
      </c>
      <c r="M13" s="4">
        <f t="shared" si="6"/>
        <v>16</v>
      </c>
      <c r="N13" s="22">
        <v>92</v>
      </c>
      <c r="O13" s="23">
        <f t="shared" si="7"/>
        <v>69</v>
      </c>
      <c r="P13" s="23">
        <f t="shared" si="8"/>
        <v>23</v>
      </c>
      <c r="Q13" s="2">
        <v>70</v>
      </c>
      <c r="R13" s="4">
        <f t="shared" si="9"/>
        <v>49</v>
      </c>
      <c r="S13" s="4">
        <f t="shared" si="10"/>
        <v>21</v>
      </c>
      <c r="T13" s="22">
        <v>78</v>
      </c>
      <c r="U13" s="23">
        <f t="shared" si="11"/>
        <v>58.5</v>
      </c>
      <c r="V13" s="23">
        <f t="shared" si="12"/>
        <v>19.5</v>
      </c>
      <c r="W13" s="2">
        <v>49</v>
      </c>
      <c r="X13" s="4">
        <f t="shared" si="13"/>
        <v>34.299999999999997</v>
      </c>
      <c r="Y13" s="4">
        <f t="shared" si="14"/>
        <v>14.7</v>
      </c>
      <c r="Z13" s="2">
        <v>2018</v>
      </c>
      <c r="AA13" s="18">
        <f t="shared" si="15"/>
        <v>128</v>
      </c>
      <c r="AB13" s="2">
        <f t="shared" si="1"/>
        <v>112</v>
      </c>
      <c r="AC13" s="18">
        <f t="shared" si="23"/>
        <v>107</v>
      </c>
      <c r="AD13" s="2">
        <f t="shared" si="16"/>
        <v>82</v>
      </c>
      <c r="AE13" s="18">
        <f t="shared" si="2"/>
        <v>157</v>
      </c>
      <c r="AF13" s="2">
        <f t="shared" si="17"/>
        <v>99</v>
      </c>
      <c r="AG13" s="2">
        <f t="shared" si="18"/>
        <v>-99</v>
      </c>
      <c r="AH13" s="2">
        <v>2018</v>
      </c>
      <c r="AI13" s="25">
        <f t="shared" si="19"/>
        <v>-78.791999999999646</v>
      </c>
      <c r="AJ13" s="25">
        <f t="shared" si="20"/>
        <v>-21.697999999999855</v>
      </c>
      <c r="AK13" s="25">
        <f t="shared" si="21"/>
        <v>-21.195549999999859</v>
      </c>
      <c r="AL13" s="25">
        <f t="shared" si="22"/>
        <v>-0.50244999999999751</v>
      </c>
    </row>
    <row r="14" spans="1:38" x14ac:dyDescent="0.25">
      <c r="A14" s="2">
        <v>2019</v>
      </c>
      <c r="B14" s="2">
        <v>194000</v>
      </c>
      <c r="C14" s="2">
        <v>180000</v>
      </c>
      <c r="D14" s="2">
        <f t="shared" si="0"/>
        <v>174000</v>
      </c>
      <c r="E14" s="2">
        <v>149000</v>
      </c>
      <c r="H14" s="22">
        <v>92</v>
      </c>
      <c r="I14" s="23">
        <f t="shared" si="3"/>
        <v>69</v>
      </c>
      <c r="J14" s="23">
        <f t="shared" si="4"/>
        <v>23</v>
      </c>
      <c r="K14" s="2">
        <v>84</v>
      </c>
      <c r="L14" s="4">
        <f t="shared" si="5"/>
        <v>67.2</v>
      </c>
      <c r="M14" s="4">
        <f t="shared" si="6"/>
        <v>16.8</v>
      </c>
      <c r="N14" s="22">
        <v>92</v>
      </c>
      <c r="O14" s="23">
        <f t="shared" si="7"/>
        <v>69</v>
      </c>
      <c r="P14" s="23">
        <f t="shared" si="8"/>
        <v>23</v>
      </c>
      <c r="Q14" s="2">
        <v>74</v>
      </c>
      <c r="R14" s="4">
        <f t="shared" si="9"/>
        <v>51.8</v>
      </c>
      <c r="S14" s="4">
        <f t="shared" si="10"/>
        <v>22.2</v>
      </c>
      <c r="T14" s="22">
        <v>82</v>
      </c>
      <c r="U14" s="23">
        <f t="shared" si="11"/>
        <v>61.5</v>
      </c>
      <c r="V14" s="23">
        <f t="shared" si="12"/>
        <v>20.5</v>
      </c>
      <c r="W14" s="2">
        <v>50</v>
      </c>
      <c r="X14" s="4">
        <f t="shared" si="13"/>
        <v>35</v>
      </c>
      <c r="Y14" s="4">
        <f t="shared" si="14"/>
        <v>15</v>
      </c>
      <c r="Z14" s="2">
        <v>2019</v>
      </c>
      <c r="AA14" s="18">
        <f t="shared" si="15"/>
        <v>128</v>
      </c>
      <c r="AB14" s="2">
        <f t="shared" si="1"/>
        <v>117</v>
      </c>
      <c r="AC14" s="18">
        <f t="shared" si="23"/>
        <v>107</v>
      </c>
      <c r="AD14" s="2">
        <f t="shared" si="16"/>
        <v>86</v>
      </c>
      <c r="AE14" s="18">
        <f t="shared" si="2"/>
        <v>165</v>
      </c>
      <c r="AF14" s="2">
        <f t="shared" si="17"/>
        <v>101</v>
      </c>
      <c r="AG14" s="2">
        <f t="shared" si="18"/>
        <v>-96</v>
      </c>
      <c r="AH14" s="2">
        <v>2019</v>
      </c>
      <c r="AI14" s="25">
        <f t="shared" si="19"/>
        <v>-75.718999999999681</v>
      </c>
      <c r="AJ14" s="25">
        <f t="shared" si="20"/>
        <v>-20.600999999999864</v>
      </c>
      <c r="AK14" s="25">
        <f t="shared" si="21"/>
        <v>-20.119399999999867</v>
      </c>
      <c r="AL14" s="25">
        <f t="shared" si="22"/>
        <v>-0.4815999999999977</v>
      </c>
    </row>
    <row r="15" spans="1:38" x14ac:dyDescent="0.25">
      <c r="A15" s="2">
        <v>2020</v>
      </c>
      <c r="B15" s="2">
        <v>197500</v>
      </c>
      <c r="C15" s="2">
        <v>183000</v>
      </c>
      <c r="D15" s="2">
        <f t="shared" si="0"/>
        <v>177000</v>
      </c>
      <c r="E15" s="2">
        <v>152000</v>
      </c>
      <c r="H15" s="22">
        <v>92</v>
      </c>
      <c r="I15" s="23">
        <f t="shared" si="3"/>
        <v>69</v>
      </c>
      <c r="J15" s="23">
        <f t="shared" si="4"/>
        <v>23</v>
      </c>
      <c r="K15" s="2">
        <v>91</v>
      </c>
      <c r="L15" s="4">
        <f t="shared" si="5"/>
        <v>72.8</v>
      </c>
      <c r="M15" s="4">
        <f t="shared" si="6"/>
        <v>18.2</v>
      </c>
      <c r="N15" s="22">
        <v>92</v>
      </c>
      <c r="O15" s="23">
        <f t="shared" si="7"/>
        <v>69</v>
      </c>
      <c r="P15" s="23">
        <f t="shared" si="8"/>
        <v>23</v>
      </c>
      <c r="Q15" s="2">
        <v>80</v>
      </c>
      <c r="R15" s="4">
        <f t="shared" si="9"/>
        <v>64</v>
      </c>
      <c r="S15" s="4">
        <f t="shared" si="10"/>
        <v>16</v>
      </c>
      <c r="T15" s="22">
        <v>84</v>
      </c>
      <c r="U15" s="23">
        <f t="shared" si="11"/>
        <v>63</v>
      </c>
      <c r="V15" s="23">
        <f t="shared" si="12"/>
        <v>21</v>
      </c>
      <c r="W15" s="2">
        <v>52</v>
      </c>
      <c r="X15" s="4">
        <f t="shared" si="13"/>
        <v>36.4</v>
      </c>
      <c r="Y15" s="4">
        <f t="shared" si="14"/>
        <v>15.6</v>
      </c>
      <c r="Z15" s="2">
        <v>2020</v>
      </c>
      <c r="AA15" s="18">
        <f t="shared" si="15"/>
        <v>128</v>
      </c>
      <c r="AB15" s="2">
        <f t="shared" si="1"/>
        <v>127</v>
      </c>
      <c r="AC15" s="18">
        <f t="shared" si="23"/>
        <v>107</v>
      </c>
      <c r="AD15" s="2">
        <f t="shared" si="16"/>
        <v>93</v>
      </c>
      <c r="AE15" s="18">
        <f t="shared" si="2"/>
        <v>169</v>
      </c>
      <c r="AF15" s="2">
        <f t="shared" si="17"/>
        <v>105</v>
      </c>
      <c r="AG15" s="2">
        <f t="shared" si="18"/>
        <v>-79</v>
      </c>
      <c r="AH15" s="2">
        <v>2020</v>
      </c>
      <c r="AI15" s="25">
        <f t="shared" si="19"/>
        <v>-53.983999999999796</v>
      </c>
      <c r="AJ15" s="25">
        <f t="shared" si="20"/>
        <v>-25.645999999999866</v>
      </c>
      <c r="AK15" s="25">
        <f t="shared" si="21"/>
        <v>-25.247849999999868</v>
      </c>
      <c r="AL15" s="25">
        <f t="shared" si="22"/>
        <v>-0.39814999999999828</v>
      </c>
    </row>
    <row r="16" spans="1:38" x14ac:dyDescent="0.25">
      <c r="A16" s="2">
        <v>2021</v>
      </c>
      <c r="B16" s="2">
        <v>201000</v>
      </c>
      <c r="C16" s="2">
        <v>185500</v>
      </c>
      <c r="D16" s="2">
        <f t="shared" si="0"/>
        <v>180000</v>
      </c>
      <c r="E16" s="2">
        <v>155500</v>
      </c>
      <c r="H16" s="22">
        <v>92</v>
      </c>
      <c r="I16" s="23">
        <f t="shared" si="3"/>
        <v>69</v>
      </c>
      <c r="J16" s="23">
        <f t="shared" si="4"/>
        <v>23</v>
      </c>
      <c r="K16" s="2">
        <v>93</v>
      </c>
      <c r="L16" s="4">
        <f t="shared" si="5"/>
        <v>74.400000000000006</v>
      </c>
      <c r="M16" s="4">
        <f t="shared" si="6"/>
        <v>18.600000000000001</v>
      </c>
      <c r="N16" s="22">
        <v>92</v>
      </c>
      <c r="O16" s="23">
        <f t="shared" si="7"/>
        <v>69</v>
      </c>
      <c r="P16" s="23">
        <f t="shared" si="8"/>
        <v>23</v>
      </c>
      <c r="Q16" s="2">
        <v>84</v>
      </c>
      <c r="R16" s="4">
        <f t="shared" si="9"/>
        <v>67.2</v>
      </c>
      <c r="S16" s="4">
        <f t="shared" si="10"/>
        <v>16.8</v>
      </c>
      <c r="T16" s="22">
        <v>85</v>
      </c>
      <c r="U16" s="23">
        <f t="shared" si="11"/>
        <v>63.75</v>
      </c>
      <c r="V16" s="23">
        <f t="shared" si="12"/>
        <v>21.25</v>
      </c>
      <c r="W16" s="2">
        <v>54</v>
      </c>
      <c r="X16" s="4">
        <f t="shared" si="13"/>
        <v>37.799999999999997</v>
      </c>
      <c r="Y16" s="4">
        <f t="shared" si="14"/>
        <v>16.2</v>
      </c>
      <c r="Z16" s="2">
        <v>2021</v>
      </c>
      <c r="AA16" s="18">
        <f t="shared" si="15"/>
        <v>128</v>
      </c>
      <c r="AB16" s="2">
        <f t="shared" si="1"/>
        <v>130</v>
      </c>
      <c r="AC16" s="18">
        <f t="shared" si="23"/>
        <v>107</v>
      </c>
      <c r="AD16" s="2">
        <f t="shared" si="16"/>
        <v>98</v>
      </c>
      <c r="AE16" s="18">
        <f t="shared" si="2"/>
        <v>171</v>
      </c>
      <c r="AF16" s="2">
        <f t="shared" si="17"/>
        <v>109</v>
      </c>
      <c r="AG16" s="2">
        <f t="shared" si="18"/>
        <v>-69</v>
      </c>
      <c r="AH16" s="2">
        <v>2021</v>
      </c>
      <c r="AI16" s="25">
        <f t="shared" si="19"/>
        <v>-46.741499999999824</v>
      </c>
      <c r="AJ16" s="25">
        <f t="shared" si="20"/>
        <v>-23.458499999999873</v>
      </c>
      <c r="AK16" s="25">
        <f t="shared" si="21"/>
        <v>-23.107499999999874</v>
      </c>
      <c r="AL16" s="25">
        <f t="shared" si="22"/>
        <v>-0.35099999999999854</v>
      </c>
    </row>
    <row r="17" spans="1:38" x14ac:dyDescent="0.25">
      <c r="A17" s="2">
        <v>2022</v>
      </c>
      <c r="B17" s="2">
        <v>205000</v>
      </c>
      <c r="C17" s="2">
        <v>188000</v>
      </c>
      <c r="D17" s="2">
        <f t="shared" si="0"/>
        <v>183000</v>
      </c>
      <c r="E17" s="2">
        <v>159000</v>
      </c>
      <c r="H17" s="22">
        <v>92</v>
      </c>
      <c r="I17" s="23">
        <f t="shared" si="3"/>
        <v>69</v>
      </c>
      <c r="J17" s="23">
        <f t="shared" si="4"/>
        <v>23</v>
      </c>
      <c r="K17" s="2">
        <v>98</v>
      </c>
      <c r="L17" s="4">
        <f t="shared" si="5"/>
        <v>78.400000000000006</v>
      </c>
      <c r="M17" s="4">
        <f t="shared" si="6"/>
        <v>19.600000000000001</v>
      </c>
      <c r="N17" s="22">
        <v>92</v>
      </c>
      <c r="O17" s="23">
        <f t="shared" si="7"/>
        <v>69</v>
      </c>
      <c r="P17" s="23">
        <f t="shared" si="8"/>
        <v>23</v>
      </c>
      <c r="Q17" s="2">
        <v>88</v>
      </c>
      <c r="R17" s="4">
        <f t="shared" si="9"/>
        <v>70.400000000000006</v>
      </c>
      <c r="S17" s="4">
        <f t="shared" si="10"/>
        <v>17.600000000000001</v>
      </c>
      <c r="T17" s="22">
        <v>87</v>
      </c>
      <c r="U17" s="23">
        <f t="shared" si="11"/>
        <v>65.25</v>
      </c>
      <c r="V17" s="23">
        <f t="shared" si="12"/>
        <v>21.75</v>
      </c>
      <c r="W17" s="2">
        <v>57</v>
      </c>
      <c r="X17" s="4">
        <f t="shared" si="13"/>
        <v>39.900000000000006</v>
      </c>
      <c r="Y17" s="4">
        <f t="shared" si="14"/>
        <v>17.099999999999998</v>
      </c>
      <c r="Z17" s="2">
        <v>2022</v>
      </c>
      <c r="AA17" s="18">
        <f t="shared" si="15"/>
        <v>128</v>
      </c>
      <c r="AB17" s="2">
        <f t="shared" si="1"/>
        <v>137</v>
      </c>
      <c r="AC17" s="18">
        <f t="shared" si="23"/>
        <v>107</v>
      </c>
      <c r="AD17" s="2">
        <f t="shared" si="16"/>
        <v>103</v>
      </c>
      <c r="AE17" s="18">
        <f t="shared" si="2"/>
        <v>175</v>
      </c>
      <c r="AF17" s="2">
        <f t="shared" si="17"/>
        <v>115</v>
      </c>
      <c r="AG17" s="2">
        <f t="shared" si="18"/>
        <v>-55</v>
      </c>
      <c r="AH17" s="2">
        <v>2022</v>
      </c>
      <c r="AI17" s="25">
        <f t="shared" si="19"/>
        <v>-36.263499999999873</v>
      </c>
      <c r="AJ17" s="25">
        <f t="shared" si="20"/>
        <v>-20.336499999999894</v>
      </c>
      <c r="AK17" s="25">
        <f t="shared" si="21"/>
        <v>-20.053499999999897</v>
      </c>
      <c r="AL17" s="25">
        <f t="shared" si="22"/>
        <v>-0.28299999999999886</v>
      </c>
    </row>
    <row r="18" spans="1:38" x14ac:dyDescent="0.25">
      <c r="A18" s="2">
        <v>2023</v>
      </c>
      <c r="B18" s="2">
        <v>209000</v>
      </c>
      <c r="C18" s="2">
        <v>191000</v>
      </c>
      <c r="D18" s="2">
        <f t="shared" si="0"/>
        <v>186000</v>
      </c>
      <c r="E18" s="2">
        <v>162500</v>
      </c>
      <c r="H18" s="22">
        <v>92</v>
      </c>
      <c r="I18" s="23">
        <f t="shared" si="3"/>
        <v>69</v>
      </c>
      <c r="J18" s="23">
        <f t="shared" si="4"/>
        <v>23</v>
      </c>
      <c r="K18" s="2">
        <v>104</v>
      </c>
      <c r="L18" s="4">
        <f t="shared" si="5"/>
        <v>83.2</v>
      </c>
      <c r="M18" s="4">
        <f t="shared" si="6"/>
        <v>20.8</v>
      </c>
      <c r="N18" s="22">
        <v>92</v>
      </c>
      <c r="O18" s="23">
        <f t="shared" si="7"/>
        <v>69</v>
      </c>
      <c r="P18" s="23">
        <f t="shared" si="8"/>
        <v>23</v>
      </c>
      <c r="Q18" s="2">
        <v>96</v>
      </c>
      <c r="R18" s="4">
        <f t="shared" si="9"/>
        <v>76.8</v>
      </c>
      <c r="S18" s="4">
        <f t="shared" si="10"/>
        <v>19.200000000000003</v>
      </c>
      <c r="T18" s="22">
        <v>88</v>
      </c>
      <c r="U18" s="23">
        <f t="shared" si="11"/>
        <v>66</v>
      </c>
      <c r="V18" s="23">
        <f t="shared" si="12"/>
        <v>22</v>
      </c>
      <c r="W18" s="2">
        <v>60</v>
      </c>
      <c r="X18" s="4">
        <f t="shared" si="13"/>
        <v>42</v>
      </c>
      <c r="Y18" s="4">
        <f t="shared" si="14"/>
        <v>18</v>
      </c>
      <c r="Z18" s="2">
        <v>2023</v>
      </c>
      <c r="AA18" s="18">
        <f t="shared" si="15"/>
        <v>128</v>
      </c>
      <c r="AB18" s="2">
        <f t="shared" si="1"/>
        <v>145</v>
      </c>
      <c r="AC18" s="18">
        <f t="shared" si="23"/>
        <v>107</v>
      </c>
      <c r="AD18" s="2">
        <f t="shared" si="16"/>
        <v>112</v>
      </c>
      <c r="AE18" s="18">
        <f t="shared" si="2"/>
        <v>177</v>
      </c>
      <c r="AF18" s="2">
        <f t="shared" si="17"/>
        <v>121</v>
      </c>
      <c r="AG18" s="2">
        <f t="shared" si="18"/>
        <v>-34</v>
      </c>
      <c r="AH18" s="2">
        <v>2023</v>
      </c>
      <c r="AI18" s="25">
        <f t="shared" si="19"/>
        <v>-19.454000000000001</v>
      </c>
      <c r="AJ18" s="25">
        <f t="shared" si="20"/>
        <v>-15.505999999999917</v>
      </c>
      <c r="AK18" s="25">
        <f t="shared" si="21"/>
        <v>-15.331199999999917</v>
      </c>
      <c r="AL18" s="25">
        <f t="shared" si="22"/>
        <v>-0.17479999999999959</v>
      </c>
    </row>
    <row r="19" spans="1:38" x14ac:dyDescent="0.25">
      <c r="A19" s="2">
        <v>2024</v>
      </c>
      <c r="B19" s="2">
        <v>212500</v>
      </c>
      <c r="C19" s="2">
        <v>194000</v>
      </c>
      <c r="D19" s="2">
        <f t="shared" si="0"/>
        <v>189000</v>
      </c>
      <c r="E19" s="2">
        <v>166000</v>
      </c>
      <c r="H19" s="22">
        <v>92</v>
      </c>
      <c r="I19" s="23">
        <f t="shared" si="3"/>
        <v>69</v>
      </c>
      <c r="J19" s="23">
        <f t="shared" si="4"/>
        <v>23</v>
      </c>
      <c r="K19" s="2">
        <v>112</v>
      </c>
      <c r="L19" s="4">
        <f t="shared" si="5"/>
        <v>89.6</v>
      </c>
      <c r="M19" s="4">
        <f t="shared" si="6"/>
        <v>22.400000000000002</v>
      </c>
      <c r="N19" s="22">
        <v>92</v>
      </c>
      <c r="O19" s="23">
        <f t="shared" si="7"/>
        <v>69</v>
      </c>
      <c r="P19" s="23">
        <f t="shared" si="8"/>
        <v>23</v>
      </c>
      <c r="Q19" s="2">
        <v>102</v>
      </c>
      <c r="R19" s="4">
        <f t="shared" si="9"/>
        <v>81.599999999999994</v>
      </c>
      <c r="S19" s="4">
        <f t="shared" si="10"/>
        <v>20.400000000000002</v>
      </c>
      <c r="T19" s="22">
        <v>90</v>
      </c>
      <c r="U19" s="23">
        <f t="shared" si="11"/>
        <v>67.5</v>
      </c>
      <c r="V19" s="23">
        <f t="shared" si="12"/>
        <v>22.5</v>
      </c>
      <c r="W19" s="2">
        <v>63</v>
      </c>
      <c r="X19" s="4">
        <f t="shared" si="13"/>
        <v>44.1</v>
      </c>
      <c r="Y19" s="4">
        <f t="shared" si="14"/>
        <v>18.899999999999999</v>
      </c>
      <c r="Z19" s="2">
        <v>2024</v>
      </c>
      <c r="AA19" s="18">
        <f t="shared" si="15"/>
        <v>128</v>
      </c>
      <c r="AB19" s="2">
        <f t="shared" si="1"/>
        <v>156</v>
      </c>
      <c r="AC19" s="18">
        <f t="shared" si="23"/>
        <v>107</v>
      </c>
      <c r="AD19" s="2">
        <f t="shared" si="16"/>
        <v>119</v>
      </c>
      <c r="AE19" s="18">
        <f t="shared" si="2"/>
        <v>181</v>
      </c>
      <c r="AF19" s="2">
        <f t="shared" si="17"/>
        <v>127</v>
      </c>
      <c r="AG19" s="2">
        <f t="shared" si="18"/>
        <v>-14</v>
      </c>
      <c r="AH19" s="2">
        <v>2024</v>
      </c>
      <c r="AI19" s="25">
        <f t="shared" si="19"/>
        <v>-3.7840000000001268</v>
      </c>
      <c r="AJ19" s="25">
        <f t="shared" si="20"/>
        <v>-11.085999999999949</v>
      </c>
      <c r="AK19" s="25">
        <f t="shared" si="21"/>
        <v>-11.011649999999948</v>
      </c>
      <c r="AL19" s="25">
        <f t="shared" si="22"/>
        <v>-7.4350000000000374E-2</v>
      </c>
    </row>
    <row r="20" spans="1:38" x14ac:dyDescent="0.25">
      <c r="A20" s="2">
        <v>2025</v>
      </c>
      <c r="B20" s="2">
        <v>216000</v>
      </c>
      <c r="C20" s="2">
        <v>196500</v>
      </c>
      <c r="D20" s="2">
        <f t="shared" si="0"/>
        <v>192000</v>
      </c>
      <c r="E20" s="2">
        <v>169500</v>
      </c>
      <c r="H20" s="22">
        <v>92</v>
      </c>
      <c r="I20" s="23">
        <f t="shared" si="3"/>
        <v>69</v>
      </c>
      <c r="J20" s="23">
        <f t="shared" si="4"/>
        <v>23</v>
      </c>
      <c r="K20" s="2">
        <v>115</v>
      </c>
      <c r="L20" s="4">
        <f t="shared" si="5"/>
        <v>92</v>
      </c>
      <c r="M20" s="4">
        <f t="shared" si="6"/>
        <v>23</v>
      </c>
      <c r="N20" s="22">
        <v>92</v>
      </c>
      <c r="O20" s="23">
        <f t="shared" si="7"/>
        <v>69</v>
      </c>
      <c r="P20" s="23">
        <f t="shared" si="8"/>
        <v>23</v>
      </c>
      <c r="Q20" s="2">
        <v>108</v>
      </c>
      <c r="R20" s="4">
        <f t="shared" si="9"/>
        <v>86.4</v>
      </c>
      <c r="S20" s="4">
        <f t="shared" si="10"/>
        <v>21.6</v>
      </c>
      <c r="T20" s="22">
        <v>91</v>
      </c>
      <c r="U20" s="23">
        <f t="shared" si="11"/>
        <v>68.25</v>
      </c>
      <c r="V20" s="23">
        <f t="shared" si="12"/>
        <v>22.75</v>
      </c>
      <c r="W20" s="2">
        <v>68</v>
      </c>
      <c r="X20" s="4">
        <f t="shared" si="13"/>
        <v>47.6</v>
      </c>
      <c r="Y20" s="4">
        <f t="shared" si="14"/>
        <v>20.399999999999999</v>
      </c>
      <c r="Z20" s="2">
        <v>2025</v>
      </c>
      <c r="AA20" s="18">
        <f t="shared" si="15"/>
        <v>128</v>
      </c>
      <c r="AB20" s="2">
        <f t="shared" si="1"/>
        <v>160</v>
      </c>
      <c r="AC20" s="18">
        <f t="shared" si="23"/>
        <v>107</v>
      </c>
      <c r="AD20" s="2">
        <f t="shared" si="16"/>
        <v>126</v>
      </c>
      <c r="AE20" s="18">
        <f t="shared" si="2"/>
        <v>183</v>
      </c>
      <c r="AF20" s="2">
        <f t="shared" si="17"/>
        <v>137</v>
      </c>
      <c r="AG20" s="2">
        <f t="shared" si="18"/>
        <v>5</v>
      </c>
      <c r="AH20" s="2">
        <v>2025</v>
      </c>
      <c r="AI20" s="25">
        <f t="shared" si="19"/>
        <v>10.647499999999823</v>
      </c>
      <c r="AJ20" s="25">
        <f t="shared" si="20"/>
        <v>-6.3474999999999753</v>
      </c>
      <c r="AK20" s="25">
        <f t="shared" si="21"/>
        <v>-6.3689999999999749</v>
      </c>
      <c r="AL20" s="25">
        <f t="shared" si="22"/>
        <v>2.1499999999999238E-2</v>
      </c>
    </row>
    <row r="21" spans="1:38" x14ac:dyDescent="0.25">
      <c r="A21" s="2">
        <v>2026</v>
      </c>
      <c r="B21" s="2">
        <v>220000</v>
      </c>
      <c r="C21" s="2">
        <v>199500</v>
      </c>
      <c r="D21" s="2">
        <f t="shared" si="0"/>
        <v>195000</v>
      </c>
      <c r="E21" s="2">
        <v>173000</v>
      </c>
      <c r="H21" s="22">
        <v>92</v>
      </c>
      <c r="I21" s="23">
        <f t="shared" si="3"/>
        <v>69</v>
      </c>
      <c r="J21" s="23">
        <f t="shared" si="4"/>
        <v>23</v>
      </c>
      <c r="K21" s="2">
        <v>122</v>
      </c>
      <c r="L21" s="4">
        <f t="shared" si="5"/>
        <v>97.6</v>
      </c>
      <c r="M21" s="4">
        <f t="shared" si="6"/>
        <v>24.400000000000002</v>
      </c>
      <c r="N21" s="22">
        <v>92</v>
      </c>
      <c r="O21" s="23">
        <f t="shared" si="7"/>
        <v>69</v>
      </c>
      <c r="P21" s="23">
        <f t="shared" si="8"/>
        <v>23</v>
      </c>
      <c r="Q21" s="2">
        <v>115</v>
      </c>
      <c r="R21" s="4">
        <f t="shared" si="9"/>
        <v>92</v>
      </c>
      <c r="S21" s="4">
        <f t="shared" si="10"/>
        <v>23</v>
      </c>
      <c r="T21" s="22">
        <v>92</v>
      </c>
      <c r="U21" s="23">
        <f t="shared" si="11"/>
        <v>69</v>
      </c>
      <c r="V21" s="23">
        <f t="shared" si="12"/>
        <v>23</v>
      </c>
      <c r="W21" s="2">
        <v>71</v>
      </c>
      <c r="X21" s="4">
        <f t="shared" si="13"/>
        <v>49.7</v>
      </c>
      <c r="Y21" s="4">
        <f t="shared" si="14"/>
        <v>21.3</v>
      </c>
      <c r="Z21" s="2">
        <v>2026</v>
      </c>
      <c r="AA21" s="18">
        <f t="shared" ref="AA21:AA30" si="24">ROUNDUP(H21*($K$2-$H$2),0)</f>
        <v>128</v>
      </c>
      <c r="AB21" s="2">
        <f t="shared" ref="AB21:AB30" si="25">ROUNDUP(K21*($K$2-$H$2),0)</f>
        <v>170</v>
      </c>
      <c r="AC21" s="18">
        <f t="shared" ref="AC21:AC30" si="26">ROUNDUP(N21*($Q$2-$N$2),0)</f>
        <v>107</v>
      </c>
      <c r="AD21" s="2">
        <f t="shared" ref="AD21:AD30" si="27">ROUNDUP(Q21*($Q$2-$N$2),0)</f>
        <v>134</v>
      </c>
      <c r="AE21" s="18">
        <f t="shared" ref="AE21:AE30" si="28">ROUNDUP(T21*($W$2-$T$2),0)</f>
        <v>185</v>
      </c>
      <c r="AF21" s="2">
        <f t="shared" ref="AF21:AF30" si="29">ROUNDUP(W21*($W$2-$T$2),0)</f>
        <v>143</v>
      </c>
      <c r="AG21" s="2">
        <f t="shared" si="18"/>
        <v>27</v>
      </c>
      <c r="AH21" s="2">
        <v>2026</v>
      </c>
      <c r="AI21" s="25">
        <f t="shared" si="19"/>
        <v>27.640999999999693</v>
      </c>
      <c r="AJ21" s="25">
        <f t="shared" si="20"/>
        <v>-1.470999999999999</v>
      </c>
      <c r="AK21" s="25">
        <f t="shared" si="21"/>
        <v>-1.6018499999999976</v>
      </c>
      <c r="AL21" s="25">
        <f t="shared" si="22"/>
        <v>0.13084999999999847</v>
      </c>
    </row>
    <row r="22" spans="1:38" x14ac:dyDescent="0.25">
      <c r="A22" s="2">
        <v>2027</v>
      </c>
      <c r="B22" s="2">
        <v>223500</v>
      </c>
      <c r="C22" s="2">
        <v>202000</v>
      </c>
      <c r="D22" s="2">
        <f t="shared" si="0"/>
        <v>198000</v>
      </c>
      <c r="E22" s="2">
        <v>176000</v>
      </c>
      <c r="H22" s="22">
        <v>92</v>
      </c>
      <c r="I22" s="23">
        <f t="shared" si="3"/>
        <v>69</v>
      </c>
      <c r="J22" s="23">
        <f t="shared" si="4"/>
        <v>23</v>
      </c>
      <c r="K22" s="2">
        <v>128</v>
      </c>
      <c r="L22" s="4">
        <f t="shared" si="5"/>
        <v>102.4</v>
      </c>
      <c r="M22" s="4">
        <f t="shared" si="6"/>
        <v>25.6</v>
      </c>
      <c r="N22" s="22">
        <v>92</v>
      </c>
      <c r="O22" s="23">
        <f t="shared" si="7"/>
        <v>69</v>
      </c>
      <c r="P22" s="23">
        <f t="shared" si="8"/>
        <v>23</v>
      </c>
      <c r="Q22" s="2">
        <v>120</v>
      </c>
      <c r="R22" s="4">
        <f t="shared" si="9"/>
        <v>96</v>
      </c>
      <c r="S22" s="4">
        <f t="shared" si="10"/>
        <v>24</v>
      </c>
      <c r="T22" s="22">
        <v>92</v>
      </c>
      <c r="U22" s="23">
        <f t="shared" si="11"/>
        <v>69</v>
      </c>
      <c r="V22" s="23">
        <f t="shared" si="12"/>
        <v>23</v>
      </c>
      <c r="W22" s="2">
        <v>77</v>
      </c>
      <c r="X22" s="4">
        <f t="shared" si="13"/>
        <v>61.6</v>
      </c>
      <c r="Y22" s="4">
        <f t="shared" si="14"/>
        <v>15.4</v>
      </c>
      <c r="Z22" s="2">
        <v>2027</v>
      </c>
      <c r="AA22" s="18">
        <f t="shared" si="24"/>
        <v>128</v>
      </c>
      <c r="AB22" s="2">
        <f t="shared" si="25"/>
        <v>178</v>
      </c>
      <c r="AC22" s="18">
        <f t="shared" si="26"/>
        <v>107</v>
      </c>
      <c r="AD22" s="2">
        <f t="shared" si="27"/>
        <v>140</v>
      </c>
      <c r="AE22" s="18">
        <f t="shared" si="28"/>
        <v>185</v>
      </c>
      <c r="AF22" s="2">
        <f t="shared" si="29"/>
        <v>155</v>
      </c>
      <c r="AG22" s="2">
        <f t="shared" si="18"/>
        <v>53</v>
      </c>
      <c r="AH22" s="2">
        <v>2027</v>
      </c>
      <c r="AI22" s="25">
        <f t="shared" si="19"/>
        <v>62.871999999999538</v>
      </c>
      <c r="AJ22" s="25">
        <f t="shared" si="20"/>
        <v>-10.501999999999967</v>
      </c>
      <c r="AK22" s="25">
        <f t="shared" si="21"/>
        <v>-10.763849999999964</v>
      </c>
      <c r="AL22" s="25">
        <f t="shared" si="22"/>
        <v>0.26184999999999786</v>
      </c>
    </row>
    <row r="23" spans="1:38" ht="14.25" customHeight="1" x14ac:dyDescent="0.25">
      <c r="A23" s="2">
        <v>2028</v>
      </c>
      <c r="B23" s="2">
        <v>227500</v>
      </c>
      <c r="C23" s="2">
        <v>205000</v>
      </c>
      <c r="D23" s="2">
        <f t="shared" si="0"/>
        <v>201000</v>
      </c>
      <c r="E23" s="2">
        <v>179500</v>
      </c>
      <c r="H23" s="22">
        <v>92</v>
      </c>
      <c r="I23" s="23">
        <f t="shared" si="3"/>
        <v>69</v>
      </c>
      <c r="J23" s="23">
        <f t="shared" si="4"/>
        <v>23</v>
      </c>
      <c r="K23" s="2">
        <v>132</v>
      </c>
      <c r="L23" s="4">
        <f t="shared" si="5"/>
        <v>105.6</v>
      </c>
      <c r="M23" s="4">
        <f t="shared" si="6"/>
        <v>26.400000000000002</v>
      </c>
      <c r="N23" s="22">
        <v>92</v>
      </c>
      <c r="O23" s="23">
        <f t="shared" si="7"/>
        <v>69</v>
      </c>
      <c r="P23" s="23">
        <f t="shared" si="8"/>
        <v>23</v>
      </c>
      <c r="Q23" s="2">
        <v>126</v>
      </c>
      <c r="R23" s="4">
        <f t="shared" si="9"/>
        <v>100.8</v>
      </c>
      <c r="S23" s="4">
        <f t="shared" si="10"/>
        <v>25.200000000000003</v>
      </c>
      <c r="T23" s="22">
        <v>92</v>
      </c>
      <c r="U23" s="23">
        <f t="shared" si="11"/>
        <v>69</v>
      </c>
      <c r="V23" s="23">
        <f t="shared" si="12"/>
        <v>23</v>
      </c>
      <c r="W23" s="2">
        <v>82</v>
      </c>
      <c r="X23" s="4">
        <f t="shared" si="13"/>
        <v>65.599999999999994</v>
      </c>
      <c r="Y23" s="4">
        <f t="shared" si="14"/>
        <v>16.400000000000002</v>
      </c>
      <c r="Z23" s="2">
        <v>2028</v>
      </c>
      <c r="AA23" s="18">
        <f t="shared" si="24"/>
        <v>128</v>
      </c>
      <c r="AB23" s="2">
        <f t="shared" si="25"/>
        <v>184</v>
      </c>
      <c r="AC23" s="18">
        <f t="shared" si="26"/>
        <v>107</v>
      </c>
      <c r="AD23" s="2">
        <f t="shared" si="27"/>
        <v>147</v>
      </c>
      <c r="AE23" s="18">
        <f t="shared" si="28"/>
        <v>185</v>
      </c>
      <c r="AF23" s="2">
        <f t="shared" si="29"/>
        <v>165</v>
      </c>
      <c r="AG23" s="2">
        <f t="shared" si="18"/>
        <v>76</v>
      </c>
      <c r="AH23" s="2">
        <v>2028</v>
      </c>
      <c r="AI23" s="25">
        <f t="shared" si="19"/>
        <v>80.9279999999994</v>
      </c>
      <c r="AJ23" s="25">
        <f t="shared" si="20"/>
        <v>-5.9879999999999836</v>
      </c>
      <c r="AK23" s="25">
        <f t="shared" si="21"/>
        <v>-6.3626999999999807</v>
      </c>
      <c r="AL23" s="25">
        <f t="shared" si="22"/>
        <v>0.37469999999999709</v>
      </c>
    </row>
    <row r="24" spans="1:38" x14ac:dyDescent="0.25">
      <c r="A24" s="2">
        <v>2029</v>
      </c>
      <c r="B24" s="2">
        <v>231000</v>
      </c>
      <c r="C24" s="2">
        <v>208000</v>
      </c>
      <c r="D24" s="2">
        <f t="shared" si="0"/>
        <v>204000</v>
      </c>
      <c r="E24" s="2">
        <v>183000</v>
      </c>
      <c r="H24" s="22">
        <v>92</v>
      </c>
      <c r="I24" s="23">
        <f t="shared" si="3"/>
        <v>69</v>
      </c>
      <c r="J24" s="23">
        <f t="shared" si="4"/>
        <v>23</v>
      </c>
      <c r="K24" s="2">
        <v>140</v>
      </c>
      <c r="L24" s="4">
        <f t="shared" si="5"/>
        <v>112</v>
      </c>
      <c r="M24" s="4">
        <f t="shared" si="6"/>
        <v>28</v>
      </c>
      <c r="N24" s="22">
        <v>92</v>
      </c>
      <c r="O24" s="23">
        <f t="shared" si="7"/>
        <v>69</v>
      </c>
      <c r="P24" s="23">
        <f t="shared" si="8"/>
        <v>23</v>
      </c>
      <c r="Q24" s="24">
        <v>132</v>
      </c>
      <c r="R24" s="4">
        <f t="shared" si="9"/>
        <v>105.6</v>
      </c>
      <c r="S24" s="4">
        <f t="shared" si="10"/>
        <v>26.400000000000002</v>
      </c>
      <c r="T24" s="22">
        <v>92</v>
      </c>
      <c r="U24" s="23">
        <f t="shared" si="11"/>
        <v>69</v>
      </c>
      <c r="V24" s="23">
        <f t="shared" si="12"/>
        <v>23</v>
      </c>
      <c r="W24" s="24">
        <v>87</v>
      </c>
      <c r="X24" s="4">
        <f t="shared" si="13"/>
        <v>69.599999999999994</v>
      </c>
      <c r="Y24" s="4">
        <f t="shared" si="14"/>
        <v>17.400000000000002</v>
      </c>
      <c r="Z24" s="2">
        <v>2029</v>
      </c>
      <c r="AA24" s="18">
        <f t="shared" si="24"/>
        <v>128</v>
      </c>
      <c r="AB24" s="2">
        <f t="shared" si="25"/>
        <v>195</v>
      </c>
      <c r="AC24" s="18">
        <f t="shared" si="26"/>
        <v>107</v>
      </c>
      <c r="AD24" s="2">
        <f t="shared" si="27"/>
        <v>154</v>
      </c>
      <c r="AE24" s="18">
        <f t="shared" si="28"/>
        <v>185</v>
      </c>
      <c r="AF24" s="2">
        <f t="shared" si="29"/>
        <v>175</v>
      </c>
      <c r="AG24" s="2">
        <f t="shared" si="18"/>
        <v>104</v>
      </c>
      <c r="AH24" s="2">
        <v>2029</v>
      </c>
      <c r="AI24" s="25">
        <f t="shared" si="19"/>
        <v>103.43199999999928</v>
      </c>
      <c r="AJ24" s="25">
        <f t="shared" si="20"/>
        <v>-0.36200000000002142</v>
      </c>
      <c r="AK24" s="25">
        <f t="shared" si="21"/>
        <v>-0.87735000000001773</v>
      </c>
      <c r="AL24" s="25">
        <f t="shared" si="22"/>
        <v>0.51534999999999631</v>
      </c>
    </row>
    <row r="25" spans="1:38" x14ac:dyDescent="0.25">
      <c r="A25" s="2">
        <v>2030</v>
      </c>
      <c r="B25" s="2">
        <v>235000</v>
      </c>
      <c r="C25" s="2">
        <v>210500</v>
      </c>
      <c r="D25" s="2">
        <f t="shared" si="0"/>
        <v>207000</v>
      </c>
      <c r="E25" s="2">
        <v>186500</v>
      </c>
      <c r="H25" s="22">
        <v>92</v>
      </c>
      <c r="I25" s="23">
        <f t="shared" si="3"/>
        <v>69</v>
      </c>
      <c r="J25" s="23">
        <f t="shared" si="4"/>
        <v>23</v>
      </c>
      <c r="K25" s="2">
        <v>147</v>
      </c>
      <c r="L25" s="4">
        <f t="shared" si="5"/>
        <v>117.6</v>
      </c>
      <c r="M25" s="4">
        <f t="shared" si="6"/>
        <v>29.400000000000002</v>
      </c>
      <c r="N25" s="22">
        <v>92</v>
      </c>
      <c r="O25" s="23">
        <f t="shared" si="7"/>
        <v>69</v>
      </c>
      <c r="P25" s="23">
        <f t="shared" si="8"/>
        <v>23</v>
      </c>
      <c r="Q25" s="24">
        <v>138</v>
      </c>
      <c r="R25" s="4">
        <f t="shared" si="9"/>
        <v>110.4</v>
      </c>
      <c r="S25" s="4">
        <f t="shared" si="10"/>
        <v>27.6</v>
      </c>
      <c r="T25" s="22">
        <v>92</v>
      </c>
      <c r="U25" s="23">
        <f t="shared" si="11"/>
        <v>69</v>
      </c>
      <c r="V25" s="23">
        <f t="shared" si="12"/>
        <v>23</v>
      </c>
      <c r="W25" s="24">
        <v>94</v>
      </c>
      <c r="X25" s="4">
        <f t="shared" si="13"/>
        <v>75.2</v>
      </c>
      <c r="Y25" s="4">
        <f t="shared" si="14"/>
        <v>18.8</v>
      </c>
      <c r="Z25" s="2">
        <v>2030</v>
      </c>
      <c r="AA25" s="18">
        <f t="shared" si="24"/>
        <v>128</v>
      </c>
      <c r="AB25" s="2">
        <f t="shared" si="25"/>
        <v>205</v>
      </c>
      <c r="AC25" s="18">
        <f t="shared" si="26"/>
        <v>107</v>
      </c>
      <c r="AD25" s="2">
        <f t="shared" si="27"/>
        <v>161</v>
      </c>
      <c r="AE25" s="18">
        <f t="shared" si="28"/>
        <v>185</v>
      </c>
      <c r="AF25" s="2">
        <f t="shared" si="29"/>
        <v>189</v>
      </c>
      <c r="AG25" s="2">
        <f t="shared" si="18"/>
        <v>135</v>
      </c>
      <c r="AH25" s="2">
        <v>2030</v>
      </c>
      <c r="AI25" s="25">
        <f t="shared" si="19"/>
        <v>128.03999999999917</v>
      </c>
      <c r="AJ25" s="25">
        <f t="shared" si="20"/>
        <v>5.7899999999999405</v>
      </c>
      <c r="AK25" s="25">
        <f t="shared" si="21"/>
        <v>5.1208499999999448</v>
      </c>
      <c r="AL25" s="25">
        <f t="shared" si="22"/>
        <v>0.66914999999999558</v>
      </c>
    </row>
    <row r="26" spans="1:38" x14ac:dyDescent="0.25">
      <c r="A26" s="2">
        <v>2031</v>
      </c>
      <c r="B26" s="2">
        <v>239000</v>
      </c>
      <c r="C26" s="2">
        <v>213000</v>
      </c>
      <c r="D26" s="2">
        <f t="shared" si="0"/>
        <v>210000</v>
      </c>
      <c r="E26" s="2">
        <v>190000</v>
      </c>
      <c r="H26" s="22">
        <v>92</v>
      </c>
      <c r="I26" s="23">
        <f t="shared" si="3"/>
        <v>69</v>
      </c>
      <c r="J26" s="23">
        <f t="shared" si="4"/>
        <v>23</v>
      </c>
      <c r="K26" s="2">
        <v>153</v>
      </c>
      <c r="L26" s="4">
        <f t="shared" si="5"/>
        <v>122.4</v>
      </c>
      <c r="M26" s="4">
        <f t="shared" si="6"/>
        <v>30.6</v>
      </c>
      <c r="N26" s="22">
        <v>92</v>
      </c>
      <c r="O26" s="23">
        <f t="shared" si="7"/>
        <v>69</v>
      </c>
      <c r="P26" s="23">
        <f t="shared" si="8"/>
        <v>23</v>
      </c>
      <c r="Q26" s="24">
        <v>144</v>
      </c>
      <c r="R26" s="4">
        <f t="shared" si="9"/>
        <v>115.2</v>
      </c>
      <c r="S26" s="4">
        <f t="shared" si="10"/>
        <v>28.8</v>
      </c>
      <c r="T26" s="22">
        <v>92</v>
      </c>
      <c r="U26" s="23">
        <f t="shared" si="11"/>
        <v>69</v>
      </c>
      <c r="V26" s="23">
        <f t="shared" si="12"/>
        <v>23</v>
      </c>
      <c r="W26" s="24">
        <v>102</v>
      </c>
      <c r="X26" s="4">
        <f t="shared" si="13"/>
        <v>81.599999999999994</v>
      </c>
      <c r="Y26" s="4">
        <f t="shared" si="14"/>
        <v>20.400000000000002</v>
      </c>
      <c r="Z26" s="2">
        <v>2031</v>
      </c>
      <c r="AA26" s="18">
        <f t="shared" si="24"/>
        <v>128</v>
      </c>
      <c r="AB26" s="2">
        <f t="shared" si="25"/>
        <v>213</v>
      </c>
      <c r="AC26" s="18">
        <f t="shared" si="26"/>
        <v>107</v>
      </c>
      <c r="AD26" s="2">
        <f t="shared" si="27"/>
        <v>168</v>
      </c>
      <c r="AE26" s="18">
        <f t="shared" si="28"/>
        <v>185</v>
      </c>
      <c r="AF26" s="2">
        <f t="shared" si="29"/>
        <v>206</v>
      </c>
      <c r="AG26" s="2">
        <f t="shared" si="18"/>
        <v>167</v>
      </c>
      <c r="AH26" s="2">
        <v>2031</v>
      </c>
      <c r="AI26" s="25">
        <f t="shared" si="19"/>
        <v>153.14399999999898</v>
      </c>
      <c r="AJ26" s="25">
        <f t="shared" si="20"/>
        <v>12.065999999999908</v>
      </c>
      <c r="AK26" s="25">
        <f t="shared" si="21"/>
        <v>11.239949999999913</v>
      </c>
      <c r="AL26" s="25">
        <f t="shared" si="22"/>
        <v>0.82604999999999451</v>
      </c>
    </row>
    <row r="27" spans="1:38" x14ac:dyDescent="0.25">
      <c r="A27" s="2">
        <v>2032</v>
      </c>
      <c r="B27" s="2">
        <v>242000</v>
      </c>
      <c r="C27" s="2">
        <v>216000</v>
      </c>
      <c r="D27" s="2">
        <f t="shared" si="0"/>
        <v>213000</v>
      </c>
      <c r="E27" s="2">
        <v>193000</v>
      </c>
      <c r="H27" s="22">
        <v>92</v>
      </c>
      <c r="I27" s="23">
        <f t="shared" si="3"/>
        <v>69</v>
      </c>
      <c r="J27" s="23">
        <f t="shared" si="4"/>
        <v>23</v>
      </c>
      <c r="K27" s="2">
        <v>158</v>
      </c>
      <c r="L27" s="4">
        <f t="shared" si="5"/>
        <v>126.4</v>
      </c>
      <c r="M27" s="4">
        <f t="shared" si="6"/>
        <v>31.6</v>
      </c>
      <c r="N27" s="22">
        <v>92</v>
      </c>
      <c r="O27" s="23">
        <f t="shared" si="7"/>
        <v>69</v>
      </c>
      <c r="P27" s="23">
        <f t="shared" si="8"/>
        <v>23</v>
      </c>
      <c r="Q27" s="24">
        <v>152</v>
      </c>
      <c r="R27" s="4">
        <f t="shared" si="9"/>
        <v>121.6</v>
      </c>
      <c r="S27" s="4">
        <f t="shared" si="10"/>
        <v>30.400000000000002</v>
      </c>
      <c r="T27" s="22">
        <v>92</v>
      </c>
      <c r="U27" s="23">
        <f t="shared" si="11"/>
        <v>69</v>
      </c>
      <c r="V27" s="23">
        <f t="shared" si="12"/>
        <v>23</v>
      </c>
      <c r="W27" s="24">
        <v>108</v>
      </c>
      <c r="X27" s="4">
        <f t="shared" si="13"/>
        <v>86.4</v>
      </c>
      <c r="Y27" s="4">
        <f t="shared" si="14"/>
        <v>21.6</v>
      </c>
      <c r="Z27" s="2">
        <v>2032</v>
      </c>
      <c r="AA27" s="18">
        <f t="shared" si="24"/>
        <v>128</v>
      </c>
      <c r="AB27" s="2">
        <f t="shared" si="25"/>
        <v>220</v>
      </c>
      <c r="AC27" s="18">
        <f t="shared" si="26"/>
        <v>107</v>
      </c>
      <c r="AD27" s="2">
        <f t="shared" si="27"/>
        <v>177</v>
      </c>
      <c r="AE27" s="18">
        <f t="shared" si="28"/>
        <v>185</v>
      </c>
      <c r="AF27" s="2">
        <f t="shared" si="29"/>
        <v>218</v>
      </c>
      <c r="AG27" s="2">
        <f t="shared" si="18"/>
        <v>195</v>
      </c>
      <c r="AH27" s="2">
        <v>2032</v>
      </c>
      <c r="AI27" s="25">
        <f t="shared" si="19"/>
        <v>175.77599999999887</v>
      </c>
      <c r="AJ27" s="25">
        <f t="shared" si="20"/>
        <v>17.723999999999876</v>
      </c>
      <c r="AK27" s="25">
        <f t="shared" si="21"/>
        <v>16.756499999999882</v>
      </c>
      <c r="AL27" s="25">
        <f t="shared" si="22"/>
        <v>0.96749999999999381</v>
      </c>
    </row>
    <row r="28" spans="1:38" x14ac:dyDescent="0.25">
      <c r="A28" s="2">
        <v>2033</v>
      </c>
      <c r="B28" s="2">
        <v>246000</v>
      </c>
      <c r="C28" s="2">
        <v>219000</v>
      </c>
      <c r="D28" s="2">
        <f t="shared" si="0"/>
        <v>216000</v>
      </c>
      <c r="E28" s="2">
        <v>197000</v>
      </c>
      <c r="H28" s="22">
        <v>92</v>
      </c>
      <c r="I28" s="23">
        <f t="shared" si="3"/>
        <v>69</v>
      </c>
      <c r="J28" s="23">
        <f t="shared" si="4"/>
        <v>23</v>
      </c>
      <c r="K28" s="2">
        <v>164</v>
      </c>
      <c r="L28" s="4">
        <f t="shared" si="5"/>
        <v>131.19999999999999</v>
      </c>
      <c r="M28" s="4">
        <f t="shared" si="6"/>
        <v>32.800000000000004</v>
      </c>
      <c r="N28" s="22">
        <v>92</v>
      </c>
      <c r="O28" s="23">
        <f t="shared" si="7"/>
        <v>69</v>
      </c>
      <c r="P28" s="23">
        <f t="shared" si="8"/>
        <v>23</v>
      </c>
      <c r="Q28" s="24">
        <v>159</v>
      </c>
      <c r="R28" s="4">
        <f t="shared" si="9"/>
        <v>127.2</v>
      </c>
      <c r="S28" s="4">
        <f t="shared" si="10"/>
        <v>31.8</v>
      </c>
      <c r="T28" s="22">
        <v>92</v>
      </c>
      <c r="U28" s="23">
        <f t="shared" si="11"/>
        <v>69</v>
      </c>
      <c r="V28" s="23">
        <f t="shared" si="12"/>
        <v>23</v>
      </c>
      <c r="W28" s="24">
        <v>117</v>
      </c>
      <c r="X28" s="4">
        <f t="shared" si="13"/>
        <v>93.6</v>
      </c>
      <c r="Y28" s="4">
        <f t="shared" si="14"/>
        <v>23.400000000000002</v>
      </c>
      <c r="Z28" s="2">
        <v>2033</v>
      </c>
      <c r="AA28" s="18">
        <f t="shared" si="24"/>
        <v>128</v>
      </c>
      <c r="AB28" s="2">
        <f t="shared" si="25"/>
        <v>228</v>
      </c>
      <c r="AC28" s="18">
        <f t="shared" si="26"/>
        <v>107</v>
      </c>
      <c r="AD28" s="2">
        <f t="shared" si="27"/>
        <v>185</v>
      </c>
      <c r="AE28" s="18">
        <f t="shared" si="28"/>
        <v>185</v>
      </c>
      <c r="AF28" s="2">
        <f t="shared" si="29"/>
        <v>236</v>
      </c>
      <c r="AG28" s="2">
        <f t="shared" si="18"/>
        <v>229</v>
      </c>
      <c r="AH28" s="2">
        <v>2033</v>
      </c>
      <c r="AI28" s="25">
        <f t="shared" si="19"/>
        <v>203.41599999999872</v>
      </c>
      <c r="AJ28" s="25">
        <f t="shared" si="20"/>
        <v>24.633999999999844</v>
      </c>
      <c r="AK28" s="25">
        <f t="shared" si="21"/>
        <v>23.493749999999849</v>
      </c>
      <c r="AL28" s="25">
        <f t="shared" si="22"/>
        <v>1.1402499999999929</v>
      </c>
    </row>
    <row r="29" spans="1:38" x14ac:dyDescent="0.25">
      <c r="A29" s="2">
        <v>2034</v>
      </c>
      <c r="B29" s="2">
        <v>250000</v>
      </c>
      <c r="C29" s="2">
        <v>221500</v>
      </c>
      <c r="D29" s="2">
        <f t="shared" si="0"/>
        <v>219000</v>
      </c>
      <c r="E29" s="2">
        <v>200000</v>
      </c>
      <c r="H29" s="22">
        <v>92</v>
      </c>
      <c r="I29" s="23">
        <f t="shared" si="3"/>
        <v>69</v>
      </c>
      <c r="J29" s="23">
        <f t="shared" si="4"/>
        <v>23</v>
      </c>
      <c r="K29" s="2">
        <v>171</v>
      </c>
      <c r="L29" s="4">
        <f t="shared" si="5"/>
        <v>136.80000000000001</v>
      </c>
      <c r="M29" s="4">
        <f t="shared" si="6"/>
        <v>34.200000000000003</v>
      </c>
      <c r="N29" s="22">
        <v>92</v>
      </c>
      <c r="O29" s="23">
        <f t="shared" si="7"/>
        <v>69</v>
      </c>
      <c r="P29" s="23">
        <f t="shared" si="8"/>
        <v>23</v>
      </c>
      <c r="Q29" s="24">
        <v>165</v>
      </c>
      <c r="R29" s="4">
        <f t="shared" si="9"/>
        <v>132</v>
      </c>
      <c r="S29" s="4">
        <f t="shared" si="10"/>
        <v>33</v>
      </c>
      <c r="T29" s="22">
        <v>92</v>
      </c>
      <c r="U29" s="23">
        <f t="shared" si="11"/>
        <v>69</v>
      </c>
      <c r="V29" s="23">
        <f t="shared" si="12"/>
        <v>23</v>
      </c>
      <c r="W29" s="24">
        <v>124</v>
      </c>
      <c r="X29" s="4">
        <f t="shared" si="13"/>
        <v>99.2</v>
      </c>
      <c r="Y29" s="4">
        <f t="shared" si="14"/>
        <v>24.8</v>
      </c>
      <c r="Z29" s="2">
        <v>2034</v>
      </c>
      <c r="AA29" s="18">
        <f t="shared" si="24"/>
        <v>128</v>
      </c>
      <c r="AB29" s="2">
        <f t="shared" si="25"/>
        <v>238</v>
      </c>
      <c r="AC29" s="18">
        <f t="shared" si="26"/>
        <v>107</v>
      </c>
      <c r="AD29" s="2">
        <f t="shared" si="27"/>
        <v>192</v>
      </c>
      <c r="AE29" s="18">
        <f t="shared" si="28"/>
        <v>185</v>
      </c>
      <c r="AF29" s="2">
        <f t="shared" si="29"/>
        <v>250</v>
      </c>
      <c r="AG29" s="2">
        <f t="shared" si="18"/>
        <v>260</v>
      </c>
      <c r="AH29" s="2">
        <v>2034</v>
      </c>
      <c r="AI29" s="25">
        <f t="shared" si="19"/>
        <v>228.02399999999858</v>
      </c>
      <c r="AJ29" s="25">
        <f t="shared" si="20"/>
        <v>30.785999999999799</v>
      </c>
      <c r="AK29" s="25">
        <f t="shared" si="21"/>
        <v>29.491949999999807</v>
      </c>
      <c r="AL29" s="25">
        <f t="shared" si="22"/>
        <v>1.2940499999999917</v>
      </c>
    </row>
    <row r="30" spans="1:38" x14ac:dyDescent="0.25">
      <c r="A30" s="2">
        <v>2035</v>
      </c>
      <c r="B30" s="2">
        <v>253500</v>
      </c>
      <c r="C30" s="2">
        <v>224300</v>
      </c>
      <c r="D30" s="2">
        <v>222000</v>
      </c>
      <c r="E30" s="2">
        <v>203500</v>
      </c>
      <c r="H30" s="22">
        <v>92</v>
      </c>
      <c r="I30" s="23">
        <f t="shared" si="3"/>
        <v>69</v>
      </c>
      <c r="J30" s="23">
        <f t="shared" si="4"/>
        <v>23</v>
      </c>
      <c r="K30" s="2">
        <v>178</v>
      </c>
      <c r="L30" s="4">
        <f t="shared" si="5"/>
        <v>142.4</v>
      </c>
      <c r="M30" s="4">
        <f t="shared" si="6"/>
        <v>35.6</v>
      </c>
      <c r="N30" s="22">
        <v>92</v>
      </c>
      <c r="O30" s="23">
        <f t="shared" si="7"/>
        <v>69</v>
      </c>
      <c r="P30" s="23">
        <f t="shared" si="8"/>
        <v>23</v>
      </c>
      <c r="Q30" s="24">
        <v>171</v>
      </c>
      <c r="R30" s="4">
        <f t="shared" si="9"/>
        <v>136.80000000000001</v>
      </c>
      <c r="S30" s="4">
        <f t="shared" si="10"/>
        <v>34.200000000000003</v>
      </c>
      <c r="T30" s="22">
        <v>92</v>
      </c>
      <c r="U30" s="23">
        <f t="shared" si="11"/>
        <v>69</v>
      </c>
      <c r="V30" s="23">
        <f t="shared" si="12"/>
        <v>23</v>
      </c>
      <c r="W30" s="24">
        <v>131</v>
      </c>
      <c r="X30" s="4">
        <f t="shared" si="13"/>
        <v>104.8</v>
      </c>
      <c r="Y30" s="4">
        <f t="shared" si="14"/>
        <v>26.200000000000003</v>
      </c>
      <c r="Z30" s="2">
        <v>2035</v>
      </c>
      <c r="AA30" s="18">
        <f t="shared" si="24"/>
        <v>128</v>
      </c>
      <c r="AB30" s="2">
        <f t="shared" si="25"/>
        <v>248</v>
      </c>
      <c r="AC30" s="18">
        <f t="shared" si="26"/>
        <v>107</v>
      </c>
      <c r="AD30" s="2">
        <f t="shared" si="27"/>
        <v>199</v>
      </c>
      <c r="AE30" s="18">
        <f t="shared" si="28"/>
        <v>185</v>
      </c>
      <c r="AF30" s="2">
        <f t="shared" si="29"/>
        <v>264</v>
      </c>
      <c r="AG30" s="2">
        <f t="shared" si="18"/>
        <v>291</v>
      </c>
      <c r="AH30" s="2">
        <v>2035</v>
      </c>
      <c r="AI30" s="25">
        <f t="shared" si="19"/>
        <v>252.63199999999847</v>
      </c>
      <c r="AJ30" s="25">
        <f t="shared" si="20"/>
        <v>36.937999999999768</v>
      </c>
      <c r="AK30" s="25">
        <f t="shared" si="21"/>
        <v>35.49014999999978</v>
      </c>
      <c r="AL30" s="25">
        <f t="shared" si="22"/>
        <v>1.4478499999999912</v>
      </c>
    </row>
    <row r="31" spans="1:38" x14ac:dyDescent="0.25">
      <c r="AH31" t="s">
        <v>11</v>
      </c>
      <c r="AI31" s="25">
        <f>SUM(AI10:AI30)</f>
        <v>846.73149999999305</v>
      </c>
      <c r="AJ31" s="25">
        <f>SUM(AJ10:AJ30)</f>
        <v>-67.7914999999999</v>
      </c>
      <c r="AK31" s="25">
        <f>SUM(AK10:AK30)</f>
        <v>-71.686199999999843</v>
      </c>
      <c r="AL31" s="25">
        <f>SUM(AL10:AL30)</f>
        <v>3.8946999999999647</v>
      </c>
    </row>
  </sheetData>
  <mergeCells count="23">
    <mergeCell ref="AH2:AL3"/>
    <mergeCell ref="B2:E2"/>
    <mergeCell ref="F1:G1"/>
    <mergeCell ref="AA1:AF1"/>
    <mergeCell ref="AA2:AB2"/>
    <mergeCell ref="AC2:AD2"/>
    <mergeCell ref="AE2:AF2"/>
    <mergeCell ref="AG2:AG4"/>
    <mergeCell ref="H2:J2"/>
    <mergeCell ref="K2:M2"/>
    <mergeCell ref="H1:M1"/>
    <mergeCell ref="H3:J3"/>
    <mergeCell ref="K3:M3"/>
    <mergeCell ref="N3:P3"/>
    <mergeCell ref="Q3:S3"/>
    <mergeCell ref="N2:P2"/>
    <mergeCell ref="T3:V3"/>
    <mergeCell ref="W3:Y3"/>
    <mergeCell ref="Q2:S2"/>
    <mergeCell ref="N1:S1"/>
    <mergeCell ref="T2:V2"/>
    <mergeCell ref="W2:Y2"/>
    <mergeCell ref="T1:Y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selection activeCell="M34" sqref="M34"/>
    </sheetView>
  </sheetViews>
  <sheetFormatPr defaultRowHeight="15" x14ac:dyDescent="0.25"/>
  <cols>
    <col min="14" max="14" width="14.140625" customWidth="1"/>
  </cols>
  <sheetData>
    <row r="1" spans="1:20" x14ac:dyDescent="0.25">
      <c r="F1" s="30" t="s">
        <v>29</v>
      </c>
      <c r="G1" s="30"/>
      <c r="H1" s="30" t="s">
        <v>30</v>
      </c>
      <c r="I1" s="30"/>
      <c r="J1" s="30" t="s">
        <v>31</v>
      </c>
      <c r="K1" s="30"/>
      <c r="L1" s="30" t="s">
        <v>32</v>
      </c>
      <c r="M1" s="30"/>
      <c r="O1" s="26" t="s">
        <v>41</v>
      </c>
      <c r="P1" s="26"/>
      <c r="Q1" s="26"/>
      <c r="R1" s="26"/>
      <c r="S1" s="26"/>
      <c r="T1" s="26"/>
    </row>
    <row r="2" spans="1:20" x14ac:dyDescent="0.25">
      <c r="B2" s="30" t="s">
        <v>27</v>
      </c>
      <c r="C2" s="30"/>
      <c r="D2" s="30"/>
      <c r="E2" s="30"/>
      <c r="F2" s="2">
        <v>217.01</v>
      </c>
      <c r="G2" s="2">
        <v>218.45</v>
      </c>
      <c r="H2" s="2">
        <v>218.46</v>
      </c>
      <c r="I2" s="2">
        <v>219.85</v>
      </c>
      <c r="J2" s="2">
        <v>219.86</v>
      </c>
      <c r="K2" s="2">
        <v>221.02</v>
      </c>
      <c r="L2" s="2">
        <v>221.03</v>
      </c>
      <c r="M2" s="2">
        <v>223.04</v>
      </c>
      <c r="O2" s="26" t="s">
        <v>30</v>
      </c>
      <c r="P2" s="26"/>
      <c r="Q2" s="26" t="s">
        <v>31</v>
      </c>
      <c r="R2" s="26"/>
      <c r="S2" s="26" t="s">
        <v>32</v>
      </c>
      <c r="T2" s="26"/>
    </row>
    <row r="3" spans="1:20" x14ac:dyDescent="0.25">
      <c r="A3" t="s">
        <v>26</v>
      </c>
      <c r="B3" s="14">
        <v>1</v>
      </c>
      <c r="C3">
        <v>2</v>
      </c>
      <c r="D3">
        <v>3</v>
      </c>
      <c r="E3">
        <v>4</v>
      </c>
      <c r="F3" t="s">
        <v>13</v>
      </c>
      <c r="G3" t="s">
        <v>28</v>
      </c>
      <c r="H3" t="s">
        <v>13</v>
      </c>
      <c r="I3" t="s">
        <v>28</v>
      </c>
      <c r="J3" t="s">
        <v>13</v>
      </c>
      <c r="K3" t="s">
        <v>28</v>
      </c>
      <c r="L3" t="s">
        <v>13</v>
      </c>
      <c r="M3" t="s">
        <v>28</v>
      </c>
      <c r="N3" s="2" t="s">
        <v>26</v>
      </c>
      <c r="O3" s="2" t="s">
        <v>13</v>
      </c>
      <c r="P3" s="2" t="s">
        <v>28</v>
      </c>
      <c r="Q3" s="2" t="s">
        <v>13</v>
      </c>
      <c r="R3" s="2" t="s">
        <v>28</v>
      </c>
      <c r="S3" s="2" t="s">
        <v>13</v>
      </c>
      <c r="T3" s="2" t="s">
        <v>28</v>
      </c>
    </row>
    <row r="4" spans="1:20" x14ac:dyDescent="0.25">
      <c r="A4" s="2">
        <v>2010</v>
      </c>
      <c r="B4" s="2">
        <v>160000</v>
      </c>
      <c r="C4" s="2">
        <v>155000</v>
      </c>
      <c r="D4" s="2">
        <v>147000</v>
      </c>
      <c r="E4" s="2">
        <v>118000</v>
      </c>
      <c r="F4">
        <v>90</v>
      </c>
      <c r="H4">
        <v>63</v>
      </c>
      <c r="J4">
        <v>52</v>
      </c>
      <c r="L4">
        <v>38</v>
      </c>
      <c r="N4" s="2">
        <v>2010</v>
      </c>
      <c r="O4" s="18">
        <v>63</v>
      </c>
      <c r="P4" s="2"/>
      <c r="Q4" s="18">
        <v>52</v>
      </c>
      <c r="R4" s="2"/>
      <c r="S4" s="18">
        <v>38</v>
      </c>
      <c r="T4" s="2"/>
    </row>
    <row r="5" spans="1:20" x14ac:dyDescent="0.25">
      <c r="A5" s="2">
        <v>2011</v>
      </c>
      <c r="B5" s="2">
        <v>164000</v>
      </c>
      <c r="C5" s="2">
        <v>158000</v>
      </c>
      <c r="D5" s="2">
        <f>(($D$29-$D$4)/25)+D4</f>
        <v>150000</v>
      </c>
      <c r="E5" s="2">
        <v>121500</v>
      </c>
      <c r="N5" s="2">
        <v>2011</v>
      </c>
      <c r="O5" s="18"/>
      <c r="P5" s="2"/>
      <c r="Q5" s="18"/>
      <c r="R5" s="2"/>
      <c r="S5" s="18"/>
      <c r="T5" s="2"/>
    </row>
    <row r="6" spans="1:20" x14ac:dyDescent="0.25">
      <c r="A6" s="2">
        <v>2012</v>
      </c>
      <c r="B6" s="2">
        <v>167500</v>
      </c>
      <c r="C6" s="2">
        <v>160500</v>
      </c>
      <c r="D6" s="2">
        <f t="shared" ref="D6:D28" si="0">(($D$29-$D$4)/25)+D5</f>
        <v>153000</v>
      </c>
      <c r="E6" s="2">
        <v>125000</v>
      </c>
      <c r="N6" s="2">
        <v>2012</v>
      </c>
      <c r="O6" s="18"/>
      <c r="P6" s="2"/>
      <c r="Q6" s="18"/>
      <c r="R6" s="2"/>
      <c r="S6" s="18"/>
      <c r="T6" s="2"/>
    </row>
    <row r="7" spans="1:20" x14ac:dyDescent="0.25">
      <c r="A7" s="2">
        <v>2013</v>
      </c>
      <c r="B7" s="2">
        <v>171000</v>
      </c>
      <c r="C7" s="2">
        <v>163500</v>
      </c>
      <c r="D7" s="2">
        <f t="shared" si="0"/>
        <v>156000</v>
      </c>
      <c r="E7" s="2">
        <v>128500</v>
      </c>
      <c r="N7" s="2">
        <v>2013</v>
      </c>
      <c r="O7" s="18"/>
      <c r="P7" s="2"/>
      <c r="Q7" s="18"/>
      <c r="R7" s="2"/>
      <c r="S7" s="18"/>
      <c r="T7" s="2"/>
    </row>
    <row r="8" spans="1:20" x14ac:dyDescent="0.25">
      <c r="A8" s="2">
        <v>2014</v>
      </c>
      <c r="B8" s="2">
        <v>175000</v>
      </c>
      <c r="C8" s="2">
        <v>166000</v>
      </c>
      <c r="D8" s="2">
        <f t="shared" si="0"/>
        <v>159000</v>
      </c>
      <c r="E8" s="2">
        <v>132000</v>
      </c>
      <c r="N8" s="2">
        <v>2014</v>
      </c>
      <c r="O8" s="18"/>
      <c r="P8" s="2"/>
      <c r="Q8" s="18"/>
      <c r="R8" s="2"/>
      <c r="S8" s="18"/>
      <c r="T8" s="2"/>
    </row>
    <row r="9" spans="1:20" x14ac:dyDescent="0.25">
      <c r="A9" s="2">
        <v>2015</v>
      </c>
      <c r="B9" s="2">
        <v>179000</v>
      </c>
      <c r="C9" s="2">
        <v>169000</v>
      </c>
      <c r="D9" s="2">
        <f t="shared" si="0"/>
        <v>162000</v>
      </c>
      <c r="E9" s="2">
        <v>135000</v>
      </c>
      <c r="H9">
        <v>89</v>
      </c>
      <c r="I9">
        <v>67</v>
      </c>
      <c r="J9">
        <v>88</v>
      </c>
      <c r="K9">
        <v>58</v>
      </c>
      <c r="L9">
        <v>72</v>
      </c>
      <c r="M9">
        <v>55</v>
      </c>
      <c r="N9" s="2">
        <v>2015</v>
      </c>
      <c r="O9" s="18">
        <f>ROUNDUP(H9*($I$2-$H$2),0)</f>
        <v>124</v>
      </c>
      <c r="P9" s="2">
        <f t="shared" ref="P9:P19" si="1">ROUNDUP(I9*($I$2-$H$2),0)</f>
        <v>94</v>
      </c>
      <c r="Q9" s="18">
        <f>ROUNDUP(J9*($K$2-$J$2),0)</f>
        <v>103</v>
      </c>
      <c r="R9" s="2">
        <f>ROUNDUP(K9*($K$2-$J$2),0)</f>
        <v>68</v>
      </c>
      <c r="S9" s="18">
        <f>ROUNDUP(L9*($M$2-$L$2),0)</f>
        <v>145</v>
      </c>
      <c r="T9" s="2">
        <f>ROUNDUP(M9*($M$2-$L$2),0)</f>
        <v>111</v>
      </c>
    </row>
    <row r="10" spans="1:20" x14ac:dyDescent="0.25">
      <c r="A10" s="2">
        <v>2016</v>
      </c>
      <c r="B10" s="2">
        <v>182500</v>
      </c>
      <c r="C10" s="2">
        <v>172000</v>
      </c>
      <c r="D10" s="2">
        <f t="shared" si="0"/>
        <v>165000</v>
      </c>
      <c r="E10" s="2">
        <v>138500</v>
      </c>
      <c r="H10">
        <v>91</v>
      </c>
      <c r="I10">
        <v>73</v>
      </c>
      <c r="J10">
        <v>90</v>
      </c>
      <c r="K10">
        <v>63</v>
      </c>
      <c r="L10">
        <v>73</v>
      </c>
      <c r="M10">
        <v>52</v>
      </c>
      <c r="N10" s="2">
        <v>2016</v>
      </c>
      <c r="O10" s="18">
        <f t="shared" ref="O10:O19" si="2">ROUNDUP(H10*($I$2-$H$2),0)</f>
        <v>127</v>
      </c>
      <c r="P10" s="2">
        <f t="shared" si="1"/>
        <v>102</v>
      </c>
      <c r="Q10" s="18">
        <f>ROUNDUP(J10*($K$2-$J$2),0)</f>
        <v>105</v>
      </c>
      <c r="R10" s="2">
        <f t="shared" ref="R10:R19" si="3">ROUNDUP(K10*($K$2-$J$2),0)</f>
        <v>74</v>
      </c>
      <c r="S10" s="18">
        <f t="shared" ref="S10:T19" si="4">ROUNDUP(L10*($M$2-$L$2),0)</f>
        <v>147</v>
      </c>
      <c r="T10" s="2">
        <f t="shared" si="4"/>
        <v>105</v>
      </c>
    </row>
    <row r="11" spans="1:20" x14ac:dyDescent="0.25">
      <c r="A11" s="2">
        <v>2017</v>
      </c>
      <c r="B11" s="2">
        <v>186000</v>
      </c>
      <c r="C11" s="2">
        <v>174500</v>
      </c>
      <c r="D11" s="2">
        <f t="shared" si="0"/>
        <v>168000</v>
      </c>
      <c r="E11" s="2">
        <v>142000</v>
      </c>
      <c r="H11">
        <v>92</v>
      </c>
      <c r="I11">
        <v>75</v>
      </c>
      <c r="J11">
        <v>91</v>
      </c>
      <c r="K11">
        <v>67</v>
      </c>
      <c r="L11">
        <v>75</v>
      </c>
      <c r="M11">
        <v>51</v>
      </c>
      <c r="N11" s="2">
        <v>2017</v>
      </c>
      <c r="O11" s="18">
        <f t="shared" si="2"/>
        <v>128</v>
      </c>
      <c r="P11" s="2">
        <f t="shared" si="1"/>
        <v>105</v>
      </c>
      <c r="Q11" s="18">
        <f t="shared" ref="Q11:Q19" si="5">ROUNDUP(J11*($K$2-$J$2),0)</f>
        <v>106</v>
      </c>
      <c r="R11" s="2">
        <f t="shared" si="3"/>
        <v>78</v>
      </c>
      <c r="S11" s="18">
        <f t="shared" si="4"/>
        <v>151</v>
      </c>
      <c r="T11" s="2">
        <f t="shared" si="4"/>
        <v>103</v>
      </c>
    </row>
    <row r="12" spans="1:20" x14ac:dyDescent="0.25">
      <c r="A12" s="2">
        <v>2018</v>
      </c>
      <c r="B12" s="2">
        <v>190000</v>
      </c>
      <c r="C12" s="2">
        <v>177000</v>
      </c>
      <c r="D12" s="2">
        <f t="shared" si="0"/>
        <v>171000</v>
      </c>
      <c r="E12" s="2">
        <v>145500</v>
      </c>
      <c r="H12">
        <v>92</v>
      </c>
      <c r="I12">
        <v>80</v>
      </c>
      <c r="J12">
        <v>92</v>
      </c>
      <c r="K12">
        <v>70</v>
      </c>
      <c r="L12">
        <v>78</v>
      </c>
      <c r="M12">
        <v>49</v>
      </c>
      <c r="N12" s="2">
        <v>2018</v>
      </c>
      <c r="O12" s="18">
        <f t="shared" si="2"/>
        <v>128</v>
      </c>
      <c r="P12" s="2">
        <f t="shared" si="1"/>
        <v>112</v>
      </c>
      <c r="Q12" s="18">
        <f t="shared" si="5"/>
        <v>107</v>
      </c>
      <c r="R12" s="2">
        <f t="shared" si="3"/>
        <v>82</v>
      </c>
      <c r="S12" s="18">
        <f t="shared" si="4"/>
        <v>157</v>
      </c>
      <c r="T12" s="2">
        <f t="shared" si="4"/>
        <v>99</v>
      </c>
    </row>
    <row r="13" spans="1:20" x14ac:dyDescent="0.25">
      <c r="A13" s="2">
        <v>2019</v>
      </c>
      <c r="B13" s="2">
        <v>194000</v>
      </c>
      <c r="C13" s="2">
        <v>180000</v>
      </c>
      <c r="D13" s="2">
        <f t="shared" si="0"/>
        <v>174000</v>
      </c>
      <c r="E13" s="2">
        <v>149000</v>
      </c>
      <c r="H13">
        <v>92</v>
      </c>
      <c r="I13">
        <v>84</v>
      </c>
      <c r="J13">
        <v>92</v>
      </c>
      <c r="K13">
        <v>74</v>
      </c>
      <c r="L13">
        <v>82</v>
      </c>
      <c r="M13">
        <v>50</v>
      </c>
      <c r="N13" s="2">
        <v>2019</v>
      </c>
      <c r="O13" s="18">
        <f t="shared" si="2"/>
        <v>128</v>
      </c>
      <c r="P13" s="2">
        <f t="shared" si="1"/>
        <v>117</v>
      </c>
      <c r="Q13" s="18">
        <f t="shared" si="5"/>
        <v>107</v>
      </c>
      <c r="R13" s="2">
        <f t="shared" si="3"/>
        <v>86</v>
      </c>
      <c r="S13" s="18">
        <f t="shared" si="4"/>
        <v>165</v>
      </c>
      <c r="T13" s="2">
        <f t="shared" si="4"/>
        <v>101</v>
      </c>
    </row>
    <row r="14" spans="1:20" x14ac:dyDescent="0.25">
      <c r="A14" s="2">
        <v>2020</v>
      </c>
      <c r="B14" s="2">
        <v>197500</v>
      </c>
      <c r="C14" s="2">
        <v>183000</v>
      </c>
      <c r="D14" s="2">
        <f t="shared" si="0"/>
        <v>177000</v>
      </c>
      <c r="E14" s="2">
        <v>152000</v>
      </c>
      <c r="H14">
        <v>92</v>
      </c>
      <c r="I14">
        <v>91</v>
      </c>
      <c r="J14">
        <v>92</v>
      </c>
      <c r="K14">
        <v>80</v>
      </c>
      <c r="L14">
        <v>84</v>
      </c>
      <c r="M14">
        <v>52</v>
      </c>
      <c r="N14" s="2">
        <v>2020</v>
      </c>
      <c r="O14" s="18">
        <f t="shared" si="2"/>
        <v>128</v>
      </c>
      <c r="P14" s="2">
        <f t="shared" si="1"/>
        <v>127</v>
      </c>
      <c r="Q14" s="18">
        <f t="shared" si="5"/>
        <v>107</v>
      </c>
      <c r="R14" s="2">
        <f t="shared" si="3"/>
        <v>93</v>
      </c>
      <c r="S14" s="18">
        <f t="shared" si="4"/>
        <v>169</v>
      </c>
      <c r="T14" s="2">
        <f t="shared" si="4"/>
        <v>105</v>
      </c>
    </row>
    <row r="15" spans="1:20" x14ac:dyDescent="0.25">
      <c r="A15" s="2">
        <v>2021</v>
      </c>
      <c r="B15" s="2">
        <v>201000</v>
      </c>
      <c r="C15" s="2">
        <v>185500</v>
      </c>
      <c r="D15" s="2">
        <f t="shared" si="0"/>
        <v>180000</v>
      </c>
      <c r="E15" s="2">
        <v>155500</v>
      </c>
      <c r="H15">
        <v>92</v>
      </c>
      <c r="I15">
        <v>93</v>
      </c>
      <c r="J15">
        <v>92</v>
      </c>
      <c r="K15">
        <v>84</v>
      </c>
      <c r="L15">
        <v>85</v>
      </c>
      <c r="M15">
        <v>54</v>
      </c>
      <c r="N15" s="2">
        <v>2021</v>
      </c>
      <c r="O15" s="18">
        <f t="shared" si="2"/>
        <v>128</v>
      </c>
      <c r="P15" s="2">
        <f t="shared" si="1"/>
        <v>130</v>
      </c>
      <c r="Q15" s="18">
        <f t="shared" si="5"/>
        <v>107</v>
      </c>
      <c r="R15" s="2">
        <f t="shared" si="3"/>
        <v>98</v>
      </c>
      <c r="S15" s="18">
        <f t="shared" si="4"/>
        <v>171</v>
      </c>
      <c r="T15" s="2">
        <f t="shared" si="4"/>
        <v>109</v>
      </c>
    </row>
    <row r="16" spans="1:20" x14ac:dyDescent="0.25">
      <c r="A16" s="2">
        <v>2022</v>
      </c>
      <c r="B16" s="2">
        <v>205000</v>
      </c>
      <c r="C16" s="2">
        <v>188000</v>
      </c>
      <c r="D16" s="2">
        <f t="shared" si="0"/>
        <v>183000</v>
      </c>
      <c r="E16" s="2">
        <v>159000</v>
      </c>
      <c r="H16">
        <v>92</v>
      </c>
      <c r="I16">
        <v>98</v>
      </c>
      <c r="J16">
        <v>92</v>
      </c>
      <c r="K16">
        <v>88</v>
      </c>
      <c r="L16">
        <v>87</v>
      </c>
      <c r="M16">
        <v>57</v>
      </c>
      <c r="N16" s="2">
        <v>2022</v>
      </c>
      <c r="O16" s="18">
        <f t="shared" si="2"/>
        <v>128</v>
      </c>
      <c r="P16" s="2">
        <f t="shared" si="1"/>
        <v>137</v>
      </c>
      <c r="Q16" s="18">
        <f t="shared" si="5"/>
        <v>107</v>
      </c>
      <c r="R16" s="2">
        <f t="shared" si="3"/>
        <v>103</v>
      </c>
      <c r="S16" s="18">
        <f t="shared" si="4"/>
        <v>175</v>
      </c>
      <c r="T16" s="2">
        <f t="shared" si="4"/>
        <v>115</v>
      </c>
    </row>
    <row r="17" spans="1:20" x14ac:dyDescent="0.25">
      <c r="A17" s="2">
        <v>2023</v>
      </c>
      <c r="B17" s="2">
        <v>209000</v>
      </c>
      <c r="C17" s="2">
        <v>191000</v>
      </c>
      <c r="D17" s="2">
        <f t="shared" si="0"/>
        <v>186000</v>
      </c>
      <c r="E17" s="2">
        <v>162500</v>
      </c>
      <c r="H17">
        <v>92</v>
      </c>
      <c r="I17">
        <v>104</v>
      </c>
      <c r="J17">
        <v>92</v>
      </c>
      <c r="K17">
        <v>96</v>
      </c>
      <c r="L17">
        <v>88</v>
      </c>
      <c r="M17">
        <v>60</v>
      </c>
      <c r="N17" s="2">
        <v>2023</v>
      </c>
      <c r="O17" s="18">
        <f t="shared" si="2"/>
        <v>128</v>
      </c>
      <c r="P17" s="2">
        <f t="shared" si="1"/>
        <v>145</v>
      </c>
      <c r="Q17" s="18">
        <f t="shared" si="5"/>
        <v>107</v>
      </c>
      <c r="R17" s="2">
        <f t="shared" si="3"/>
        <v>112</v>
      </c>
      <c r="S17" s="18">
        <f t="shared" si="4"/>
        <v>177</v>
      </c>
      <c r="T17" s="2">
        <f t="shared" si="4"/>
        <v>121</v>
      </c>
    </row>
    <row r="18" spans="1:20" x14ac:dyDescent="0.25">
      <c r="A18" s="2">
        <v>2024</v>
      </c>
      <c r="B18" s="2">
        <v>212500</v>
      </c>
      <c r="C18" s="2">
        <v>194000</v>
      </c>
      <c r="D18" s="2">
        <f t="shared" si="0"/>
        <v>189000</v>
      </c>
      <c r="E18" s="2">
        <v>166000</v>
      </c>
      <c r="H18">
        <v>92</v>
      </c>
      <c r="I18">
        <v>112</v>
      </c>
      <c r="J18">
        <v>92</v>
      </c>
      <c r="K18">
        <v>102</v>
      </c>
      <c r="L18">
        <v>90</v>
      </c>
      <c r="M18">
        <v>63</v>
      </c>
      <c r="N18" s="2">
        <v>2024</v>
      </c>
      <c r="O18" s="18">
        <f t="shared" si="2"/>
        <v>128</v>
      </c>
      <c r="P18" s="2">
        <f t="shared" si="1"/>
        <v>156</v>
      </c>
      <c r="Q18" s="18">
        <f t="shared" si="5"/>
        <v>107</v>
      </c>
      <c r="R18" s="2">
        <f t="shared" si="3"/>
        <v>119</v>
      </c>
      <c r="S18" s="18">
        <f t="shared" si="4"/>
        <v>181</v>
      </c>
      <c r="T18" s="2">
        <f t="shared" si="4"/>
        <v>127</v>
      </c>
    </row>
    <row r="19" spans="1:20" x14ac:dyDescent="0.25">
      <c r="A19" s="2">
        <v>2025</v>
      </c>
      <c r="B19" s="2">
        <v>216000</v>
      </c>
      <c r="C19" s="2">
        <v>196500</v>
      </c>
      <c r="D19" s="2">
        <f t="shared" si="0"/>
        <v>192000</v>
      </c>
      <c r="E19" s="2">
        <v>169500</v>
      </c>
      <c r="H19">
        <v>92</v>
      </c>
      <c r="I19">
        <v>115</v>
      </c>
      <c r="J19">
        <v>92</v>
      </c>
      <c r="K19">
        <v>108</v>
      </c>
      <c r="L19">
        <v>91</v>
      </c>
      <c r="M19">
        <v>68</v>
      </c>
      <c r="N19" s="2">
        <v>2025</v>
      </c>
      <c r="O19" s="18">
        <f t="shared" si="2"/>
        <v>128</v>
      </c>
      <c r="P19" s="2">
        <f t="shared" si="1"/>
        <v>160</v>
      </c>
      <c r="Q19" s="18">
        <f t="shared" si="5"/>
        <v>107</v>
      </c>
      <c r="R19" s="2">
        <f t="shared" si="3"/>
        <v>126</v>
      </c>
      <c r="S19" s="18">
        <f t="shared" si="4"/>
        <v>183</v>
      </c>
      <c r="T19" s="2">
        <f t="shared" si="4"/>
        <v>137</v>
      </c>
    </row>
    <row r="20" spans="1:20" x14ac:dyDescent="0.25">
      <c r="A20" s="2">
        <v>2026</v>
      </c>
      <c r="B20" s="2">
        <v>220000</v>
      </c>
      <c r="C20" s="2">
        <v>199500</v>
      </c>
      <c r="D20" s="2">
        <f t="shared" si="0"/>
        <v>195000</v>
      </c>
      <c r="E20" s="2">
        <v>173000</v>
      </c>
      <c r="H20">
        <f>SUM(H9:H19)</f>
        <v>1008</v>
      </c>
      <c r="I20">
        <f t="shared" ref="I20:M20" si="6">SUM(I9:I19)</f>
        <v>992</v>
      </c>
      <c r="J20">
        <f t="shared" si="6"/>
        <v>1005</v>
      </c>
      <c r="K20">
        <f t="shared" si="6"/>
        <v>890</v>
      </c>
      <c r="L20">
        <f t="shared" si="6"/>
        <v>905</v>
      </c>
      <c r="M20">
        <f t="shared" si="6"/>
        <v>611</v>
      </c>
      <c r="N20" s="17" t="s">
        <v>35</v>
      </c>
      <c r="O20" s="18">
        <f>SUM(O9:O19)</f>
        <v>1403</v>
      </c>
      <c r="P20" s="2">
        <f t="shared" ref="P20:T20" si="7">SUM(P9:P19)</f>
        <v>1385</v>
      </c>
      <c r="Q20" s="18">
        <f t="shared" si="7"/>
        <v>1170</v>
      </c>
      <c r="R20" s="2">
        <f t="shared" si="7"/>
        <v>1039</v>
      </c>
      <c r="S20" s="18">
        <f t="shared" si="7"/>
        <v>1821</v>
      </c>
      <c r="T20" s="2">
        <f t="shared" si="7"/>
        <v>1233</v>
      </c>
    </row>
    <row r="21" spans="1:20" x14ac:dyDescent="0.25">
      <c r="A21" s="2">
        <v>2027</v>
      </c>
      <c r="B21" s="2">
        <v>223500</v>
      </c>
      <c r="C21" s="2">
        <v>202000</v>
      </c>
      <c r="D21" s="2">
        <f t="shared" si="0"/>
        <v>198000</v>
      </c>
      <c r="E21" s="2">
        <v>176000</v>
      </c>
    </row>
    <row r="22" spans="1:20" ht="39.75" customHeight="1" x14ac:dyDescent="0.25">
      <c r="A22" s="2">
        <v>2028</v>
      </c>
      <c r="B22" s="2">
        <v>227500</v>
      </c>
      <c r="C22" s="2">
        <v>205000</v>
      </c>
      <c r="D22" s="2">
        <f t="shared" si="0"/>
        <v>201000</v>
      </c>
      <c r="E22" s="2">
        <v>179500</v>
      </c>
      <c r="O22" s="31" t="s">
        <v>37</v>
      </c>
      <c r="P22" s="31"/>
      <c r="Q22" s="19" t="s">
        <v>42</v>
      </c>
      <c r="R22" s="19" t="s">
        <v>43</v>
      </c>
      <c r="S22" s="19" t="s">
        <v>40</v>
      </c>
    </row>
    <row r="23" spans="1:20" x14ac:dyDescent="0.25">
      <c r="A23" s="2">
        <v>2029</v>
      </c>
      <c r="B23" s="2">
        <v>231000</v>
      </c>
      <c r="C23" s="2">
        <v>208000</v>
      </c>
      <c r="D23" s="2">
        <f t="shared" si="0"/>
        <v>204000</v>
      </c>
      <c r="E23" s="2">
        <v>183000</v>
      </c>
      <c r="L23" t="s">
        <v>33</v>
      </c>
      <c r="M23">
        <f>H20+J20+L20</f>
        <v>2918</v>
      </c>
      <c r="O23" s="26" t="s">
        <v>13</v>
      </c>
      <c r="P23" s="26"/>
      <c r="Q23" s="2">
        <f>O20+Q20+S20</f>
        <v>4394</v>
      </c>
      <c r="R23" s="15" t="s">
        <v>39</v>
      </c>
      <c r="S23" s="2" t="s">
        <v>39</v>
      </c>
    </row>
    <row r="24" spans="1:20" x14ac:dyDescent="0.25">
      <c r="A24" s="2">
        <v>2030</v>
      </c>
      <c r="B24" s="2">
        <v>235000</v>
      </c>
      <c r="C24" s="2">
        <v>210500</v>
      </c>
      <c r="D24" s="2">
        <f t="shared" si="0"/>
        <v>207000</v>
      </c>
      <c r="E24" s="2">
        <v>186500</v>
      </c>
      <c r="L24" t="s">
        <v>34</v>
      </c>
      <c r="M24">
        <f>(M20+K20+I20)</f>
        <v>2493</v>
      </c>
      <c r="O24" s="26" t="s">
        <v>38</v>
      </c>
      <c r="P24" s="26"/>
      <c r="Q24" s="2">
        <f>P20+R20+T20</f>
        <v>3657</v>
      </c>
      <c r="R24" s="2">
        <f>Q23-Q24</f>
        <v>737</v>
      </c>
      <c r="S24" s="20">
        <f>R24/Q23</f>
        <v>0.16772872098315886</v>
      </c>
    </row>
    <row r="25" spans="1:20" x14ac:dyDescent="0.25">
      <c r="A25" s="2">
        <v>2031</v>
      </c>
      <c r="B25" s="2">
        <v>239000</v>
      </c>
      <c r="C25" s="2">
        <v>213000</v>
      </c>
      <c r="D25" s="2">
        <f t="shared" si="0"/>
        <v>210000</v>
      </c>
      <c r="E25" s="2">
        <v>190000</v>
      </c>
      <c r="O25" s="26" t="s">
        <v>36</v>
      </c>
      <c r="P25" s="26"/>
      <c r="Q25" s="2">
        <f>ROUND(Q24*1.2,0)</f>
        <v>4388</v>
      </c>
      <c r="R25" s="2">
        <f>Q23-Q25</f>
        <v>6</v>
      </c>
      <c r="S25" s="20">
        <f>R25/Q23</f>
        <v>1.3654984069185253E-3</v>
      </c>
    </row>
    <row r="26" spans="1:20" x14ac:dyDescent="0.25">
      <c r="A26" s="2">
        <v>2032</v>
      </c>
      <c r="B26" s="2">
        <v>242000</v>
      </c>
      <c r="C26" s="2">
        <v>216000</v>
      </c>
      <c r="D26" s="2">
        <f t="shared" si="0"/>
        <v>213000</v>
      </c>
      <c r="E26" s="2">
        <v>193000</v>
      </c>
    </row>
    <row r="27" spans="1:20" x14ac:dyDescent="0.25">
      <c r="A27" s="2">
        <v>2033</v>
      </c>
      <c r="B27" s="2">
        <v>246000</v>
      </c>
      <c r="C27" s="2">
        <v>219000</v>
      </c>
      <c r="D27" s="2">
        <f t="shared" si="0"/>
        <v>216000</v>
      </c>
      <c r="E27" s="2">
        <v>197000</v>
      </c>
    </row>
    <row r="28" spans="1:20" x14ac:dyDescent="0.25">
      <c r="A28" s="2">
        <v>2034</v>
      </c>
      <c r="B28" s="2">
        <v>250000</v>
      </c>
      <c r="C28" s="2">
        <v>221500</v>
      </c>
      <c r="D28" s="2">
        <f t="shared" si="0"/>
        <v>219000</v>
      </c>
      <c r="E28" s="2">
        <v>200000</v>
      </c>
    </row>
    <row r="29" spans="1:20" x14ac:dyDescent="0.25">
      <c r="A29" s="2">
        <v>2035</v>
      </c>
      <c r="B29" s="2">
        <v>253500</v>
      </c>
      <c r="C29" s="2">
        <v>224300</v>
      </c>
      <c r="D29" s="2">
        <v>222000</v>
      </c>
      <c r="E29" s="2">
        <v>203500</v>
      </c>
    </row>
  </sheetData>
  <mergeCells count="13">
    <mergeCell ref="B2:E2"/>
    <mergeCell ref="O2:P2"/>
    <mergeCell ref="Q2:R2"/>
    <mergeCell ref="S2:T2"/>
    <mergeCell ref="O22:P22"/>
    <mergeCell ref="O23:P23"/>
    <mergeCell ref="O24:P24"/>
    <mergeCell ref="O25:P25"/>
    <mergeCell ref="F1:G1"/>
    <mergeCell ref="H1:I1"/>
    <mergeCell ref="J1:K1"/>
    <mergeCell ref="L1:M1"/>
    <mergeCell ref="O1:T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Volumes</vt:lpstr>
      <vt:lpstr>2035_Types</vt:lpstr>
      <vt:lpstr>Sheet3</vt:lpstr>
      <vt:lpstr>2025</vt:lpstr>
    </vt:vector>
  </TitlesOfParts>
  <Company>CDOT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Kiene, Benjamin</dc:creator>
  <cp:lastModifiedBy>Crane, Mindy</cp:lastModifiedBy>
  <cp:lastPrinted>2012-03-19T17:07:55Z</cp:lastPrinted>
  <dcterms:created xsi:type="dcterms:W3CDTF">2012-02-22T23:24:38Z</dcterms:created>
  <dcterms:modified xsi:type="dcterms:W3CDTF">2012-03-19T17:09:52Z</dcterms:modified>
</cp:coreProperties>
</file>