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65" yWindow="65521" windowWidth="7725" windowHeight="9510" tabRatio="928" activeTab="0"/>
  </bookViews>
  <sheets>
    <sheet name="Reinf Superstr." sheetId="1" r:id="rId1"/>
    <sheet name="Reinf Abut 1" sheetId="2" r:id="rId2"/>
    <sheet name="Reinf Pier 2" sheetId="3" r:id="rId3"/>
    <sheet name="Reinf Pier 3" sheetId="4" r:id="rId4"/>
    <sheet name="Reinf Pier 12" sheetId="5" r:id="rId5"/>
    <sheet name="Reinf Abut 13" sheetId="6" r:id="rId6"/>
    <sheet name="Reinf Approach Slabs" sheetId="7" r:id="rId7"/>
  </sheets>
  <definedNames>
    <definedName name="DH_RL">#REF!</definedName>
    <definedName name="MSE_Block_step">#REF!</definedName>
    <definedName name="_xlnm.Print_Area" localSheetId="1">'Reinf Abut 1'!$A$1:$Q$59</definedName>
    <definedName name="_xlnm.Print_Area" localSheetId="6">'Reinf Approach Slabs'!$A$1:$N$98</definedName>
  </definedNames>
  <calcPr fullCalcOnLoad="1"/>
</workbook>
</file>

<file path=xl/sharedStrings.xml><?xml version="1.0" encoding="utf-8"?>
<sst xmlns="http://schemas.openxmlformats.org/spreadsheetml/2006/main" count="1001" uniqueCount="139">
  <si>
    <t>No.</t>
  </si>
  <si>
    <t>Total</t>
  </si>
  <si>
    <t>Length</t>
  </si>
  <si>
    <t>Total =</t>
  </si>
  <si>
    <t>Epoxy</t>
  </si>
  <si>
    <t>Black</t>
  </si>
  <si>
    <t>Type</t>
  </si>
  <si>
    <t>Dimensions</t>
  </si>
  <si>
    <t>Req'd</t>
  </si>
  <si>
    <t>Bar</t>
  </si>
  <si>
    <t>Weight</t>
  </si>
  <si>
    <t>A</t>
  </si>
  <si>
    <t>B</t>
  </si>
  <si>
    <t>C</t>
  </si>
  <si>
    <t>B.E.I</t>
  </si>
  <si>
    <t>Size</t>
  </si>
  <si>
    <t>E</t>
  </si>
  <si>
    <t>Str.</t>
  </si>
  <si>
    <t>Description</t>
  </si>
  <si>
    <t>BAR LIST - SUPERSTRUCTURE</t>
  </si>
  <si>
    <t>BAR SUMMARY - SUPERSTRUCTURE</t>
  </si>
  <si>
    <t>Lin.</t>
  </si>
  <si>
    <t>Ft.</t>
  </si>
  <si>
    <t>Lbs. /</t>
  </si>
  <si>
    <t>#4</t>
  </si>
  <si>
    <t>#5</t>
  </si>
  <si>
    <t>#6</t>
  </si>
  <si>
    <t>#7</t>
  </si>
  <si>
    <t>#8</t>
  </si>
  <si>
    <t>#9</t>
  </si>
  <si>
    <t>#10</t>
  </si>
  <si>
    <t>#11</t>
  </si>
  <si>
    <t>EPOXY COATED</t>
  </si>
  <si>
    <t>NON-EPOXY COATED</t>
  </si>
  <si>
    <t>Number</t>
  </si>
  <si>
    <t>of Lin.</t>
  </si>
  <si>
    <t>BAR LIST - ABUTMENT 1</t>
  </si>
  <si>
    <t>BAR SUMMARY - ABUTMENT 1</t>
  </si>
  <si>
    <t>Abut. (Trans)</t>
  </si>
  <si>
    <t>BAR LIST - PIER 2</t>
  </si>
  <si>
    <t>BAR SUMMARY - PIER 2</t>
  </si>
  <si>
    <t>Column</t>
  </si>
  <si>
    <t>Pier Cap</t>
  </si>
  <si>
    <t>8'-2"</t>
  </si>
  <si>
    <t>Pier Cap Stirrups</t>
  </si>
  <si>
    <t>BAR LIST - PIER 3</t>
  </si>
  <si>
    <t>BAR SUMMARY - PIER 3</t>
  </si>
  <si>
    <t>Abut. Stirrups</t>
  </si>
  <si>
    <t>Wingwall Stirrups</t>
  </si>
  <si>
    <t>Wingwall (Vert)</t>
  </si>
  <si>
    <t>17'-11"</t>
  </si>
  <si>
    <t>Abut. into Appr Slab</t>
  </si>
  <si>
    <t>Wingwall (Long)</t>
  </si>
  <si>
    <t>Top of slab (Tran)</t>
  </si>
  <si>
    <t>Top of slab (Long)</t>
  </si>
  <si>
    <t>BAR LIST - APPROACH SLAB ABUTMENT 1</t>
  </si>
  <si>
    <t>Slab (Top Long)</t>
  </si>
  <si>
    <t>Slab (Bottom Long)</t>
  </si>
  <si>
    <t>Slab (Top &amp; Bot Trans)</t>
  </si>
  <si>
    <t>Sleeper Trans</t>
  </si>
  <si>
    <t>Sleeper Stirrups</t>
  </si>
  <si>
    <t>7'-10"</t>
  </si>
  <si>
    <t>BAR SUMMARY - APPROACH SLAB ABUTMENT 1</t>
  </si>
  <si>
    <t>Phase 1 Construction</t>
  </si>
  <si>
    <t>Phase 2 Construction</t>
  </si>
  <si>
    <t>3'-9"</t>
  </si>
  <si>
    <t>11'-9"</t>
  </si>
  <si>
    <t>21'-3"</t>
  </si>
  <si>
    <t>3'-0"</t>
  </si>
  <si>
    <t>16'-10"</t>
  </si>
  <si>
    <t>6'-10"</t>
  </si>
  <si>
    <t>27'-2"</t>
  </si>
  <si>
    <t>24'-7"</t>
  </si>
  <si>
    <t>43'-2"</t>
  </si>
  <si>
    <t>32'-5"</t>
  </si>
  <si>
    <t>15'-10"</t>
  </si>
  <si>
    <t>16'-3"</t>
  </si>
  <si>
    <t>17'-9"</t>
  </si>
  <si>
    <t>6'-11"</t>
  </si>
  <si>
    <t>22'-8"</t>
  </si>
  <si>
    <t>10'-1"</t>
  </si>
  <si>
    <t>23'-4"</t>
  </si>
  <si>
    <t>16'-8"</t>
  </si>
  <si>
    <t>11'-4"</t>
  </si>
  <si>
    <t>Grand Total =</t>
  </si>
  <si>
    <t>Total For Both App. Slabs =</t>
  </si>
  <si>
    <t>6'-4"</t>
  </si>
  <si>
    <t>36'-0"</t>
  </si>
  <si>
    <t>17'-10"</t>
  </si>
  <si>
    <t>3'-3"</t>
  </si>
  <si>
    <t>2'-6"</t>
  </si>
  <si>
    <t>3'-11"</t>
  </si>
  <si>
    <t>40'-0"</t>
  </si>
  <si>
    <t>4'-2"</t>
  </si>
  <si>
    <t>13'-11"</t>
  </si>
  <si>
    <t>Along Abut. (Tran)</t>
  </si>
  <si>
    <t>60'-0"</t>
  </si>
  <si>
    <t>30'-0"</t>
  </si>
  <si>
    <t>14'-10"</t>
  </si>
  <si>
    <t>Pier Diaphragm (Long)</t>
  </si>
  <si>
    <t>Stirr.</t>
  </si>
  <si>
    <t>56'-2"</t>
  </si>
  <si>
    <t>Abut. For App.(Trans)</t>
  </si>
  <si>
    <t>17'-8"</t>
  </si>
  <si>
    <t>Corbel Stirrups</t>
  </si>
  <si>
    <t>10'-11"</t>
  </si>
  <si>
    <t>7'-0"</t>
  </si>
  <si>
    <t>Wingwall outside(Long)</t>
  </si>
  <si>
    <t>16'-4"</t>
  </si>
  <si>
    <t>22'-4"</t>
  </si>
  <si>
    <t>52'-6"</t>
  </si>
  <si>
    <t>53'-3"</t>
  </si>
  <si>
    <t>50'-5"</t>
  </si>
  <si>
    <t>8'-3"</t>
  </si>
  <si>
    <t>18'-4"</t>
  </si>
  <si>
    <t>Column Spiral</t>
  </si>
  <si>
    <t>11'-2"</t>
  </si>
  <si>
    <t>11'-8"</t>
  </si>
  <si>
    <t>50'-8"</t>
  </si>
  <si>
    <t>33'-1"</t>
  </si>
  <si>
    <t>21'-1"</t>
  </si>
  <si>
    <t>2'-4"</t>
  </si>
  <si>
    <t>3'-8"</t>
  </si>
  <si>
    <t>Sleeper at conduit</t>
  </si>
  <si>
    <t>5'-2"</t>
  </si>
  <si>
    <t>15'-8"</t>
  </si>
  <si>
    <t>30'-9"</t>
  </si>
  <si>
    <t>6'-1"</t>
  </si>
  <si>
    <t>Slab Stirrups</t>
  </si>
  <si>
    <t>7'-8"</t>
  </si>
  <si>
    <t>14'-3"</t>
  </si>
  <si>
    <t>26'-11"</t>
  </si>
  <si>
    <t>BAR LIST - ABUTMENT 13</t>
  </si>
  <si>
    <t>BAR SUMMARY - ABUTMENT 13</t>
  </si>
  <si>
    <t>BAR LIST - APPROACH SLAB ABUTMENT 13</t>
  </si>
  <si>
    <t>BAR SUMMARY - APPROACH SLAB ABUTMENT 13</t>
  </si>
  <si>
    <t>Project No: XXXXXXXX</t>
  </si>
  <si>
    <t>By: XXXXXXXXX</t>
  </si>
  <si>
    <t>Str. No.: X-XX-XXX</t>
  </si>
</sst>
</file>

<file path=xl/styles.xml><?xml version="1.0" encoding="utf-8"?>
<styleSheet xmlns="http://schemas.openxmlformats.org/spreadsheetml/2006/main">
  <numFmts count="4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_)"/>
    <numFmt numFmtId="166" formatCode="#,##0.0_);\(#,##0.0\)"/>
    <numFmt numFmtId="167" formatCode="0.0000_)"/>
    <numFmt numFmtId="168" formatCode="0.00_)"/>
    <numFmt numFmtId="169" formatCode="#,##0.0000_);\(#,##0.0000\)"/>
    <numFmt numFmtId="170" formatCode="General_)"/>
    <numFmt numFmtId="171" formatCode="0.000_)"/>
    <numFmt numFmtId="172" formatCode="0.00000_)"/>
    <numFmt numFmtId="173" formatCode="0.000000_)"/>
    <numFmt numFmtId="174" formatCode="_(* #,##0.000_);_(* \(#,##0.000\);_(* &quot;-&quot;??_);_(@_)"/>
    <numFmt numFmtId="175" formatCode="_(* #,##0.0000_);_(* \(#,##0.0000\);_(* &quot;-&quot;??_);_(@_)"/>
    <numFmt numFmtId="176" formatCode="_(* #,##0.0_);_(* \(#,##0.0\);_(* &quot;-&quot;??_);_(@_)"/>
    <numFmt numFmtId="177" formatCode="_(* #,##0_);_(* \(#,##0\);_(* &quot;-&quot;??_);_(@_)"/>
    <numFmt numFmtId="178" formatCode="0.0000"/>
    <numFmt numFmtId="179" formatCode="_(* #,##0.00000_);_(* \(#,##0.00000\);_(* &quot;-&quot;??_);_(@_)"/>
    <numFmt numFmtId="180" formatCode="0.0"/>
    <numFmt numFmtId="181" formatCode="0.000"/>
    <numFmt numFmtId="182" formatCode="_(* #,##0.0000_);_(* \(#,##0.0000\);_(* &quot;-&quot;????_);_(@_)"/>
    <numFmt numFmtId="183" formatCode="_(* #,##0.000_);_(* \(#,##0.000\);_(* &quot;-&quot;???_);_(@_)"/>
    <numFmt numFmtId="184" formatCode="_(&quot;$&quot;* #,##0.0000_);_(&quot;$&quot;* \(#,##0.0000\);_(&quot;$&quot;* &quot;-&quot;????_);_(@_)"/>
    <numFmt numFmtId="185" formatCode="0.0\ &quot;Cu. In. (from Acad)&quot;"/>
    <numFmt numFmtId="186" formatCode="0.0\ &quot;Cu. In. (from 3d dwg)&quot;"/>
    <numFmt numFmtId="187" formatCode=";;;"/>
    <numFmt numFmtId="188" formatCode="0.00\ &quot;Gross&quot;"/>
    <numFmt numFmtId="189" formatCode="&quot;Area = &quot;0.00"/>
    <numFmt numFmtId="190" formatCode="#\ ?0/12&quot;'&quot;"/>
    <numFmt numFmtId="191" formatCode="#\-?0/12&quot;'&quot;"/>
    <numFmt numFmtId="192" formatCode="&quot;Pier &quot;0"/>
    <numFmt numFmtId="193" formatCode="&quot;Footer = &quot;#\-?0/12&quot; Thk.'&quot;"/>
    <numFmt numFmtId="194" formatCode="0.00&quot; C.F.&quot;;;;"/>
    <numFmt numFmtId="195" formatCode="0.00&quot; C.Y.&quot;;;;"/>
    <numFmt numFmtId="196" formatCode="###,0\+00.00"/>
    <numFmt numFmtId="197" formatCode="#0\+00.00"/>
    <numFmt numFmtId="198" formatCode="0.00&quot; S.Y.&quot;;;;"/>
    <numFmt numFmtId="199" formatCode="0&quot; S.Y.&quot;;;;"/>
    <numFmt numFmtId="200" formatCode="&quot;Yes&quot;;&quot;Yes&quot;;&quot;No&quot;"/>
    <numFmt numFmtId="201" formatCode="&quot;True&quot;;&quot;True&quot;;&quot;False&quot;"/>
    <numFmt numFmtId="202" formatCode="&quot;On&quot;;&quot;On&quot;;&quot;Off&quot;"/>
    <numFmt numFmtId="203" formatCode="[$€-2]\ #,##0.00_);[Red]\([$€-2]\ #,##0.00\)"/>
  </numFmts>
  <fonts count="45">
    <font>
      <sz val="10"/>
      <name val="Courier"/>
      <family val="0"/>
    </font>
    <font>
      <b/>
      <sz val="10"/>
      <name val="Arial"/>
      <family val="0"/>
    </font>
    <font>
      <i/>
      <sz val="10"/>
      <name val="Arial"/>
      <family val="0"/>
    </font>
    <font>
      <b/>
      <i/>
      <sz val="10"/>
      <name val="Arial"/>
      <family val="0"/>
    </font>
    <font>
      <sz val="10"/>
      <name val="Arial"/>
      <family val="2"/>
    </font>
    <font>
      <sz val="10"/>
      <color indexed="8"/>
      <name val="Courier"/>
      <family val="3"/>
    </font>
    <font>
      <b/>
      <sz val="11"/>
      <name val="Arial"/>
      <family val="2"/>
    </font>
    <font>
      <sz val="11"/>
      <name val="Arial"/>
      <family val="2"/>
    </font>
    <font>
      <b/>
      <sz val="10"/>
      <name val="Courier"/>
      <family val="3"/>
    </font>
    <font>
      <u val="single"/>
      <sz val="10"/>
      <color indexed="12"/>
      <name val="Courier"/>
      <family val="3"/>
    </font>
    <font>
      <u val="single"/>
      <sz val="10"/>
      <color indexed="36"/>
      <name val="Courier"/>
      <family val="3"/>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u val="single"/>
      <sz val="11"/>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s>
  <cellStyleXfs count="6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0" fontId="33" fillId="0" borderId="0" applyNumberFormat="0" applyFill="0" applyBorder="0" applyAlignment="0" applyProtection="0"/>
    <xf numFmtId="0" fontId="10"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9"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4"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34">
    <xf numFmtId="164" fontId="0" fillId="0" borderId="0" xfId="0" applyAlignment="1">
      <alignment/>
    </xf>
    <xf numFmtId="165" fontId="5" fillId="0" borderId="0" xfId="0" applyNumberFormat="1" applyFont="1" applyAlignment="1" applyProtection="1">
      <alignment horizontal="left"/>
      <protection locked="0"/>
    </xf>
    <xf numFmtId="164" fontId="0" fillId="0" borderId="0" xfId="0" applyAlignment="1">
      <alignment horizontal="center"/>
    </xf>
    <xf numFmtId="43" fontId="4" fillId="0" borderId="0" xfId="42" applyNumberFormat="1" applyFont="1" applyAlignment="1">
      <alignment/>
    </xf>
    <xf numFmtId="164" fontId="0" fillId="0" borderId="0" xfId="0" applyFont="1" applyAlignment="1">
      <alignment/>
    </xf>
    <xf numFmtId="164" fontId="0" fillId="0" borderId="0" xfId="0" applyFont="1" applyAlignment="1">
      <alignment horizontal="center"/>
    </xf>
    <xf numFmtId="164" fontId="0" fillId="0" borderId="0" xfId="0" applyFont="1" applyAlignment="1">
      <alignment horizontal="centerContinuous"/>
    </xf>
    <xf numFmtId="164" fontId="0" fillId="0" borderId="0" xfId="0" applyFont="1" applyBorder="1" applyAlignment="1">
      <alignment horizontal="center"/>
    </xf>
    <xf numFmtId="164" fontId="0" fillId="0" borderId="0" xfId="0" applyFont="1" applyBorder="1" applyAlignment="1">
      <alignment horizontal="centerContinuous"/>
    </xf>
    <xf numFmtId="164" fontId="0" fillId="0" borderId="0" xfId="0" applyFont="1" applyAlignment="1" quotePrefix="1">
      <alignment horizontal="center"/>
    </xf>
    <xf numFmtId="171" fontId="0" fillId="0" borderId="0" xfId="0" applyNumberFormat="1" applyFont="1" applyAlignment="1">
      <alignment horizontal="center"/>
    </xf>
    <xf numFmtId="171" fontId="0" fillId="0" borderId="0" xfId="0" applyNumberFormat="1" applyFont="1" applyAlignment="1">
      <alignment/>
    </xf>
    <xf numFmtId="43" fontId="0" fillId="0" borderId="0" xfId="42" applyFont="1" applyAlignment="1">
      <alignment horizontal="center"/>
    </xf>
    <xf numFmtId="43" fontId="0" fillId="0" borderId="0" xfId="42" applyNumberFormat="1" applyFont="1" applyAlignment="1">
      <alignment horizontal="center"/>
    </xf>
    <xf numFmtId="181" fontId="0" fillId="0" borderId="0" xfId="0" applyNumberFormat="1" applyFont="1" applyAlignment="1">
      <alignment horizontal="center"/>
    </xf>
    <xf numFmtId="178" fontId="0" fillId="0" borderId="0" xfId="0" applyNumberFormat="1" applyFont="1" applyAlignment="1">
      <alignment horizontal="center"/>
    </xf>
    <xf numFmtId="43" fontId="0" fillId="0" borderId="0" xfId="42" applyFont="1" applyAlignment="1">
      <alignment/>
    </xf>
    <xf numFmtId="43" fontId="0" fillId="0" borderId="0" xfId="42" applyNumberFormat="1" applyFont="1" applyAlignment="1">
      <alignment/>
    </xf>
    <xf numFmtId="164" fontId="7" fillId="0" borderId="0" xfId="0" applyFont="1" applyAlignment="1">
      <alignment horizontal="center"/>
    </xf>
    <xf numFmtId="171" fontId="0" fillId="0" borderId="0" xfId="0" applyNumberFormat="1" applyAlignment="1">
      <alignment/>
    </xf>
    <xf numFmtId="177" fontId="0" fillId="0" borderId="0" xfId="42" applyNumberFormat="1" applyFont="1" applyAlignment="1">
      <alignment horizontal="center"/>
    </xf>
    <xf numFmtId="177" fontId="0" fillId="0" borderId="0" xfId="42" applyNumberFormat="1" applyFont="1" applyAlignment="1">
      <alignment/>
    </xf>
    <xf numFmtId="177" fontId="0" fillId="0" borderId="0" xfId="42" applyNumberFormat="1" applyFont="1" applyAlignment="1">
      <alignment/>
    </xf>
    <xf numFmtId="164" fontId="8" fillId="0" borderId="0" xfId="0" applyFont="1" applyAlignment="1">
      <alignment/>
    </xf>
    <xf numFmtId="164" fontId="8" fillId="0" borderId="0" xfId="0" applyFont="1" applyAlignment="1">
      <alignment horizontal="center"/>
    </xf>
    <xf numFmtId="177" fontId="8" fillId="0" borderId="0" xfId="42" applyNumberFormat="1" applyFont="1" applyAlignment="1">
      <alignment/>
    </xf>
    <xf numFmtId="164" fontId="0" fillId="0" borderId="0" xfId="0" applyAlignment="1">
      <alignment horizontal="left"/>
    </xf>
    <xf numFmtId="164" fontId="8" fillId="0" borderId="0" xfId="0" applyFont="1" applyAlignment="1">
      <alignment horizontal="right"/>
    </xf>
    <xf numFmtId="164" fontId="8" fillId="0" borderId="10" xfId="0" applyFont="1" applyBorder="1" applyAlignment="1">
      <alignment/>
    </xf>
    <xf numFmtId="164" fontId="0" fillId="0" borderId="10" xfId="0" applyBorder="1" applyAlignment="1">
      <alignment/>
    </xf>
    <xf numFmtId="3" fontId="8" fillId="0" borderId="10" xfId="0" applyNumberFormat="1" applyFont="1" applyBorder="1" applyAlignment="1">
      <alignment/>
    </xf>
    <xf numFmtId="177" fontId="0" fillId="0" borderId="0" xfId="42" applyNumberFormat="1" applyFont="1" applyAlignment="1">
      <alignment/>
    </xf>
    <xf numFmtId="164" fontId="6" fillId="0" borderId="0" xfId="0" applyFont="1" applyAlignment="1">
      <alignment horizontal="center"/>
    </xf>
    <xf numFmtId="164" fontId="6" fillId="0" borderId="0" xfId="0" applyFont="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22</xdr:row>
      <xdr:rowOff>47625</xdr:rowOff>
    </xdr:from>
    <xdr:to>
      <xdr:col>4</xdr:col>
      <xdr:colOff>19050</xdr:colOff>
      <xdr:row>46</xdr:row>
      <xdr:rowOff>114300</xdr:rowOff>
    </xdr:to>
    <xdr:sp>
      <xdr:nvSpPr>
        <xdr:cNvPr id="1" name="TextBox 1"/>
        <xdr:cNvSpPr txBox="1">
          <a:spLocks noChangeArrowheads="1"/>
        </xdr:cNvSpPr>
      </xdr:nvSpPr>
      <xdr:spPr>
        <a:xfrm>
          <a:off x="0" y="3438525"/>
          <a:ext cx="3086100" cy="38576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sng" baseline="0">
              <a:solidFill>
                <a:srgbClr val="000000"/>
              </a:solidFill>
              <a:latin typeface="Calibri"/>
              <a:ea typeface="Calibri"/>
              <a:cs typeface="Calibri"/>
            </a:rPr>
            <a:t>Disclaimer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Notice of Disclaimer: The Colorado Department of Transportation (CDOT) makes these documents available on an "as is" basis. All warranties and representations of any kind with regard to said documents are disclaimed, including the implied warranties of merchantability and fitness for a particular use. Under no circumstances will the CDOT, or any of its officers or employees be liable for any consequential, incidental, special or exemplary damages even if apprised of the likelihood of such damages occurring. The CDOT does not warrant the documents against deficiencies of any kind. The use of any of these documents for work which is under contract with the CDOT, does not relieve the contractor from any obligations assumed by the contract, or from complete and proper fulfillment of the terms of the contract, nor does it entitle the contractor to compensation for damages or loss which could be attributed to such use.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29</xdr:row>
      <xdr:rowOff>19050</xdr:rowOff>
    </xdr:from>
    <xdr:to>
      <xdr:col>4</xdr:col>
      <xdr:colOff>0</xdr:colOff>
      <xdr:row>53</xdr:row>
      <xdr:rowOff>85725</xdr:rowOff>
    </xdr:to>
    <xdr:sp>
      <xdr:nvSpPr>
        <xdr:cNvPr id="1" name="TextBox 1"/>
        <xdr:cNvSpPr txBox="1">
          <a:spLocks noChangeArrowheads="1"/>
        </xdr:cNvSpPr>
      </xdr:nvSpPr>
      <xdr:spPr>
        <a:xfrm>
          <a:off x="0" y="4476750"/>
          <a:ext cx="3086100" cy="39052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sng" baseline="0">
              <a:solidFill>
                <a:srgbClr val="000000"/>
              </a:solidFill>
              <a:latin typeface="Calibri"/>
              <a:ea typeface="Calibri"/>
              <a:cs typeface="Calibri"/>
            </a:rPr>
            <a:t>Disclaimer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Notice of Disclaimer: The Colorado Department of Transportation (CDOT) makes these documents available on an "as is" basis. All warranties and representations of any kind with regard to said documents are disclaimed, including the implied warranties of merchantability and fitness for a particular use. Under no circumstances will the CDOT, or any of its officers or employees be liable for any consequential, incidental, special or exemplary damages even if apprised of the likelihood of such damages occurring. The CDOT does not warrant the documents against deficiencies of any kind. The use of any of these documents for work which is under contract with the CDOT, does not relieve the contractor from any obligations assumed by the contract, or from complete and proper fulfillment of the terms of the contract, nor does it entitle the contractor to compensation for damages or loss which could be attributed to such use.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25</xdr:row>
      <xdr:rowOff>0</xdr:rowOff>
    </xdr:from>
    <xdr:to>
      <xdr:col>3</xdr:col>
      <xdr:colOff>409575</xdr:colOff>
      <xdr:row>47</xdr:row>
      <xdr:rowOff>133350</xdr:rowOff>
    </xdr:to>
    <xdr:sp>
      <xdr:nvSpPr>
        <xdr:cNvPr id="1" name="TextBox 1"/>
        <xdr:cNvSpPr txBox="1">
          <a:spLocks noChangeArrowheads="1"/>
        </xdr:cNvSpPr>
      </xdr:nvSpPr>
      <xdr:spPr>
        <a:xfrm>
          <a:off x="0" y="3848100"/>
          <a:ext cx="3228975" cy="36480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sng" baseline="0">
              <a:solidFill>
                <a:srgbClr val="000000"/>
              </a:solidFill>
              <a:latin typeface="Calibri"/>
              <a:ea typeface="Calibri"/>
              <a:cs typeface="Calibri"/>
            </a:rPr>
            <a:t>Disclaimer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Notice of Disclaimer: The Colorado Department of Transportation (CDOT) makes these documents available on an "as is" basis. All warranties and representations of any kind with regard to said documents are disclaimed, including the implied warranties of merchantability and fitness for a particular use. Under no circumstances will the CDOT, or any of its officers or employees be liable for any consequential, incidental, special or exemplary damages even if apprised of the likelihood of such damages occurring. The CDOT does not warrant the documents against deficiencies of any kind. The use of any of these documents for work which is under contract with the CDOT, does not relieve the contractor from any obligations assumed by the contract, or from complete and proper fulfillment of the terms of the contract, nor does it entitle the contractor to compensation for damages or loss which could be attributed to such use.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29</xdr:row>
      <xdr:rowOff>0</xdr:rowOff>
    </xdr:from>
    <xdr:to>
      <xdr:col>3</xdr:col>
      <xdr:colOff>381000</xdr:colOff>
      <xdr:row>53</xdr:row>
      <xdr:rowOff>57150</xdr:rowOff>
    </xdr:to>
    <xdr:sp>
      <xdr:nvSpPr>
        <xdr:cNvPr id="1" name="TextBox 1"/>
        <xdr:cNvSpPr txBox="1">
          <a:spLocks noChangeArrowheads="1"/>
        </xdr:cNvSpPr>
      </xdr:nvSpPr>
      <xdr:spPr>
        <a:xfrm>
          <a:off x="0" y="4457700"/>
          <a:ext cx="3114675" cy="38957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sng" baseline="0">
              <a:solidFill>
                <a:srgbClr val="000000"/>
              </a:solidFill>
              <a:latin typeface="Calibri"/>
              <a:ea typeface="Calibri"/>
              <a:cs typeface="Calibri"/>
            </a:rPr>
            <a:t>Disclaimer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Notice of Disclaimer: The Colorado Department of Transportation (CDOT) makes these documents available on an "as is" basis. All warranties and representations of any kind with regard to said documents are disclaimed, including the implied warranties of merchantability and fitness for a particular use. Under no circumstances will the CDOT, or any of its officers or employees be liable for any consequential, incidental, special or exemplary damages even if apprised of the likelihood of such damages occurring. The CDOT does not warrant the documents against deficiencies of any kind. The use of any of these documents for work which is under contract with the CDOT, does not relieve the contractor from any obligations assumed by the contract, or from complete and proper fulfillment of the terms of the contract, nor does it entitle the contractor to compensation for damages or loss which could be attributed to such use.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29</xdr:row>
      <xdr:rowOff>0</xdr:rowOff>
    </xdr:from>
    <xdr:to>
      <xdr:col>3</xdr:col>
      <xdr:colOff>304800</xdr:colOff>
      <xdr:row>53</xdr:row>
      <xdr:rowOff>57150</xdr:rowOff>
    </xdr:to>
    <xdr:sp>
      <xdr:nvSpPr>
        <xdr:cNvPr id="1" name="TextBox 1"/>
        <xdr:cNvSpPr txBox="1">
          <a:spLocks noChangeArrowheads="1"/>
        </xdr:cNvSpPr>
      </xdr:nvSpPr>
      <xdr:spPr>
        <a:xfrm>
          <a:off x="0" y="4457700"/>
          <a:ext cx="3086100" cy="38957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sng" baseline="0">
              <a:solidFill>
                <a:srgbClr val="000000"/>
              </a:solidFill>
              <a:latin typeface="Calibri"/>
              <a:ea typeface="Calibri"/>
              <a:cs typeface="Calibri"/>
            </a:rPr>
            <a:t>Disclaimer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Notice of Disclaimer: The Colorado Department of Transportation (CDOT) makes these documents available on an "as is" basis. All warranties and representations of any kind with regard to said documents are disclaimed, including the implied warranties of merchantability and fitness for a particular use. Under no circumstances will the CDOT, or any of its officers or employees be liable for any consequential, incidental, special or exemplary damages even if apprised of the likelihood of such damages occurring. The CDOT does not warrant the documents against deficiencies of any kind. The use of any of these documents for work which is under contract with the CDOT, does not relieve the contractor from any obligations assumed by the contract, or from complete and proper fulfillment of the terms of the contract, nor does it entitle the contractor to compensation for damages or loss which could be attributed to such use.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62</xdr:row>
      <xdr:rowOff>0</xdr:rowOff>
    </xdr:from>
    <xdr:to>
      <xdr:col>3</xdr:col>
      <xdr:colOff>390525</xdr:colOff>
      <xdr:row>86</xdr:row>
      <xdr:rowOff>57150</xdr:rowOff>
    </xdr:to>
    <xdr:sp>
      <xdr:nvSpPr>
        <xdr:cNvPr id="1" name="TextBox 1"/>
        <xdr:cNvSpPr txBox="1">
          <a:spLocks noChangeArrowheads="1"/>
        </xdr:cNvSpPr>
      </xdr:nvSpPr>
      <xdr:spPr>
        <a:xfrm>
          <a:off x="0" y="9658350"/>
          <a:ext cx="3086100" cy="38862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sng" baseline="0">
              <a:solidFill>
                <a:srgbClr val="000000"/>
              </a:solidFill>
              <a:latin typeface="Calibri"/>
              <a:ea typeface="Calibri"/>
              <a:cs typeface="Calibri"/>
            </a:rPr>
            <a:t>Disclaimer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Notice of Disclaimer: The Colorado Department of Transportation (CDOT) makes these documents available on an "as is" basis. All warranties and representations of any kind with regard to said documents are disclaimed, including the implied warranties of merchantability and fitness for a particular use. Under no circumstances will the CDOT, or any of its officers or employees be liable for any consequential, incidental, special or exemplary damages even if apprised of the likelihood of such damages occurring. The CDOT does not warrant the documents against deficiencies of any kind. The use of any of these documents for work which is under contract with the CDOT, does not relieve the contractor from any obligations assumed by the contract, or from complete and proper fulfillment of the terms of the contract, nor does it entitle the contractor to compensation for damages or loss which could be attributed to such use.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26</xdr:row>
      <xdr:rowOff>38100</xdr:rowOff>
    </xdr:from>
    <xdr:ext cx="3362325" cy="3695700"/>
    <xdr:sp>
      <xdr:nvSpPr>
        <xdr:cNvPr id="1" name="TextBox 1"/>
        <xdr:cNvSpPr txBox="1">
          <a:spLocks noChangeArrowheads="1"/>
        </xdr:cNvSpPr>
      </xdr:nvSpPr>
      <xdr:spPr>
        <a:xfrm>
          <a:off x="0" y="4038600"/>
          <a:ext cx="3362325" cy="3695700"/>
        </a:xfrm>
        <a:prstGeom prst="rect">
          <a:avLst/>
        </a:prstGeom>
        <a:solidFill>
          <a:srgbClr val="FFFFFF"/>
        </a:solidFill>
        <a:ln w="9525" cmpd="sng">
          <a:solidFill>
            <a:srgbClr val="BCBCBC"/>
          </a:solidFill>
          <a:headEnd type="none"/>
          <a:tailEnd type="none"/>
        </a:ln>
      </xdr:spPr>
      <xdr:txBody>
        <a:bodyPr vertOverflow="clip" wrap="square" lIns="91440" tIns="45720" rIns="45720" bIns="45720"/>
        <a:p>
          <a:pPr algn="l">
            <a:defRPr/>
          </a:pPr>
          <a:r>
            <a:rPr lang="en-US" cap="none" sz="1100" b="1" i="0" u="sng" baseline="0">
              <a:solidFill>
                <a:srgbClr val="000000"/>
              </a:solidFill>
              <a:latin typeface="Calibri"/>
              <a:ea typeface="Calibri"/>
              <a:cs typeface="Calibri"/>
            </a:rPr>
            <a:t>Disclaimer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Notice of Disclaimer: The Colorado Department of Transportation (CDOT) makes these documents available on an "as is" basis. All warranties and representations of any kind with regard to said documents are disclaimed, including the implied warranties of merchantability and fitness for a particular use. Under no circumstances will the CDOT, or any of its officers or employees be liable for any consequential, incidental, special or exemplary damages even if apprised of the likelihood of such damages occurring. The CDOT does not warrant the documents against deficiencies of any kind. The use of any of these documents for work which is under contract with the CDOT, does not relieve the contractor from any obligations assumed by the contract, or from complete and proper fulfillment of the terms of the contract, nor does it entitle the contractor to compensation for damages or loss which could be attributed to such use.
</a:t>
          </a:r>
        </a:p>
      </xdr:txBody>
    </xdr:sp>
    <xdr:clientData/>
  </xdr:oneCellAnchor>
  <xdr:oneCellAnchor>
    <xdr:from>
      <xdr:col>0</xdr:col>
      <xdr:colOff>9525</xdr:colOff>
      <xdr:row>75</xdr:row>
      <xdr:rowOff>38100</xdr:rowOff>
    </xdr:from>
    <xdr:ext cx="3362325" cy="3695700"/>
    <xdr:sp>
      <xdr:nvSpPr>
        <xdr:cNvPr id="2" name="TextBox 2"/>
        <xdr:cNvSpPr txBox="1">
          <a:spLocks noChangeArrowheads="1"/>
        </xdr:cNvSpPr>
      </xdr:nvSpPr>
      <xdr:spPr>
        <a:xfrm>
          <a:off x="9525" y="11868150"/>
          <a:ext cx="3362325" cy="3695700"/>
        </a:xfrm>
        <a:prstGeom prst="rect">
          <a:avLst/>
        </a:prstGeom>
        <a:solidFill>
          <a:srgbClr val="FFFFFF"/>
        </a:solidFill>
        <a:ln w="9525" cmpd="sng">
          <a:solidFill>
            <a:srgbClr val="BCBCBC"/>
          </a:solidFill>
          <a:headEnd type="none"/>
          <a:tailEnd type="none"/>
        </a:ln>
      </xdr:spPr>
      <xdr:txBody>
        <a:bodyPr vertOverflow="clip" wrap="square" lIns="91440" tIns="45720" rIns="45720" bIns="45720"/>
        <a:p>
          <a:pPr algn="l">
            <a:defRPr/>
          </a:pPr>
          <a:r>
            <a:rPr lang="en-US" cap="none" sz="1100" b="1" i="0" u="sng" baseline="0">
              <a:solidFill>
                <a:srgbClr val="000000"/>
              </a:solidFill>
              <a:latin typeface="Calibri"/>
              <a:ea typeface="Calibri"/>
              <a:cs typeface="Calibri"/>
            </a:rPr>
            <a:t>Disclaimer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Notice of Disclaimer: The Colorado Department of Transportation (CDOT) makes these documents available on an "as is" basis. All warranties and representations of any kind with regard to said documents are disclaimed, including the implied warranties of merchantability and fitness for a particular use. Under no circumstances will the CDOT, or any of its officers or employees be liable for any consequential, incidental, special or exemplary damages even if apprised of the likelihood of such damages occurring. The CDOT does not warrant the documents against deficiencies of any kind. The use of any of these documents for work which is under contract with the CDOT, does not relieve the contractor from any obligations assumed by the contract, or from complete and proper fulfillment of the terms of the contract, nor does it entitle the contractor to compensation for damages or loss which could be attributed to such use.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P45"/>
  <sheetViews>
    <sheetView tabSelected="1" zoomScalePageLayoutView="0" workbookViewId="0" topLeftCell="A19">
      <selection activeCell="D52" sqref="D52"/>
    </sheetView>
  </sheetViews>
  <sheetFormatPr defaultColWidth="9.00390625" defaultRowHeight="12.75"/>
  <cols>
    <col min="1" max="1" width="27.50390625" style="0" customWidth="1"/>
    <col min="2" max="2" width="2.125" style="0" customWidth="1"/>
    <col min="3" max="3" width="4.875" style="0" customWidth="1"/>
    <col min="4" max="4" width="5.75390625" style="0" customWidth="1"/>
    <col min="5" max="5" width="5.50390625" style="0" customWidth="1"/>
    <col min="6" max="6" width="12.75390625" style="0" customWidth="1"/>
    <col min="7" max="10" width="10.75390625" style="0" customWidth="1"/>
    <col min="11" max="12" width="12.75390625" style="0" customWidth="1"/>
    <col min="13" max="14" width="10.75390625" style="0" customWidth="1"/>
    <col min="15" max="16" width="8.875" style="0" hidden="1" customWidth="1"/>
  </cols>
  <sheetData>
    <row r="1" spans="1:6" ht="12" customHeight="1">
      <c r="A1" s="1" t="s">
        <v>136</v>
      </c>
      <c r="B1" s="4"/>
      <c r="C1" s="1"/>
      <c r="D1" s="4"/>
      <c r="E1" s="4"/>
      <c r="F1" s="4"/>
    </row>
    <row r="2" spans="1:6" ht="12" customHeight="1">
      <c r="A2" s="1" t="s">
        <v>138</v>
      </c>
      <c r="B2" s="4"/>
      <c r="C2" s="1"/>
      <c r="D2" s="4"/>
      <c r="E2" s="4"/>
      <c r="F2" s="4"/>
    </row>
    <row r="3" spans="1:6" ht="12" customHeight="1">
      <c r="A3" s="1" t="s">
        <v>137</v>
      </c>
      <c r="B3" s="4"/>
      <c r="C3" s="1"/>
      <c r="D3" s="4"/>
      <c r="E3" s="4"/>
      <c r="F3" s="4"/>
    </row>
    <row r="4" spans="3:13" s="4" customFormat="1" ht="12" customHeight="1">
      <c r="C4" s="1"/>
      <c r="F4" s="9">
        <v>4</v>
      </c>
      <c r="G4" s="9">
        <v>5</v>
      </c>
      <c r="H4" s="9">
        <v>6</v>
      </c>
      <c r="I4" s="9">
        <v>7</v>
      </c>
      <c r="J4" s="9">
        <v>8</v>
      </c>
      <c r="K4" s="9">
        <v>9</v>
      </c>
      <c r="L4" s="9">
        <v>10</v>
      </c>
      <c r="M4" s="9">
        <v>11</v>
      </c>
    </row>
    <row r="5" spans="1:13" s="4" customFormat="1" ht="15">
      <c r="A5" s="32" t="s">
        <v>19</v>
      </c>
      <c r="B5" s="32"/>
      <c r="C5" s="32"/>
      <c r="D5" s="32"/>
      <c r="E5" s="32"/>
      <c r="F5" s="10">
        <v>0.668</v>
      </c>
      <c r="G5" s="10">
        <v>1.043</v>
      </c>
      <c r="H5" s="10">
        <v>1.502</v>
      </c>
      <c r="I5" s="10">
        <v>2.044</v>
      </c>
      <c r="J5" s="10">
        <v>2.67</v>
      </c>
      <c r="K5" s="11">
        <v>3.4</v>
      </c>
      <c r="L5" s="11">
        <v>4.303</v>
      </c>
      <c r="M5" s="11">
        <v>5.313</v>
      </c>
    </row>
    <row r="6" spans="3:13" s="4" customFormat="1" ht="12" customHeight="1">
      <c r="C6" s="1"/>
      <c r="F6" s="10"/>
      <c r="G6" s="10"/>
      <c r="H6" s="10"/>
      <c r="I6" s="10"/>
      <c r="J6" s="10"/>
      <c r="K6" s="11"/>
      <c r="L6" s="11"/>
      <c r="M6" s="11"/>
    </row>
    <row r="7" spans="1:13" s="4" customFormat="1" ht="12" customHeight="1">
      <c r="A7" s="23"/>
      <c r="C7" s="1"/>
      <c r="F7" s="10"/>
      <c r="G7" s="10"/>
      <c r="H7" s="10"/>
      <c r="I7" s="10"/>
      <c r="J7" s="10"/>
      <c r="K7" s="11"/>
      <c r="L7" s="11"/>
      <c r="M7" s="11"/>
    </row>
    <row r="8" spans="3:14" s="4" customFormat="1" ht="12" customHeight="1">
      <c r="C8" s="6"/>
      <c r="D8" s="6"/>
      <c r="E8" s="7" t="s">
        <v>0</v>
      </c>
      <c r="K8" s="12" t="s">
        <v>4</v>
      </c>
      <c r="L8" s="13" t="s">
        <v>5</v>
      </c>
      <c r="M8" s="13" t="s">
        <v>4</v>
      </c>
      <c r="N8" s="13" t="s">
        <v>5</v>
      </c>
    </row>
    <row r="9" spans="3:16" s="4" customFormat="1" ht="12" customHeight="1">
      <c r="C9" s="7" t="s">
        <v>9</v>
      </c>
      <c r="D9" s="7" t="s">
        <v>0</v>
      </c>
      <c r="E9" s="7" t="s">
        <v>8</v>
      </c>
      <c r="F9" s="8"/>
      <c r="G9" s="7"/>
      <c r="H9" s="6" t="s">
        <v>7</v>
      </c>
      <c r="I9" s="6"/>
      <c r="J9" s="6"/>
      <c r="K9" s="12" t="s">
        <v>1</v>
      </c>
      <c r="L9" s="13" t="s">
        <v>1</v>
      </c>
      <c r="M9" s="13" t="s">
        <v>1</v>
      </c>
      <c r="N9" s="13" t="s">
        <v>1</v>
      </c>
      <c r="P9" s="6"/>
    </row>
    <row r="10" spans="1:16" s="4" customFormat="1" ht="12" customHeight="1">
      <c r="A10" s="5" t="s">
        <v>18</v>
      </c>
      <c r="C10" s="7" t="s">
        <v>15</v>
      </c>
      <c r="D10" s="7" t="s">
        <v>8</v>
      </c>
      <c r="E10" s="5" t="s">
        <v>14</v>
      </c>
      <c r="F10" s="8" t="s">
        <v>2</v>
      </c>
      <c r="G10" s="7" t="s">
        <v>6</v>
      </c>
      <c r="H10" s="5" t="s">
        <v>11</v>
      </c>
      <c r="I10" s="5" t="s">
        <v>12</v>
      </c>
      <c r="J10" s="5" t="s">
        <v>13</v>
      </c>
      <c r="K10" s="12" t="s">
        <v>2</v>
      </c>
      <c r="L10" s="13" t="s">
        <v>2</v>
      </c>
      <c r="M10" s="13" t="s">
        <v>10</v>
      </c>
      <c r="N10" s="13" t="s">
        <v>10</v>
      </c>
      <c r="O10" s="5" t="s">
        <v>10</v>
      </c>
      <c r="P10" s="5" t="s">
        <v>2</v>
      </c>
    </row>
    <row r="11" spans="1:16" s="4" customFormat="1" ht="12" customHeight="1">
      <c r="A11" s="4" t="s">
        <v>53</v>
      </c>
      <c r="B11" s="4" t="s">
        <v>16</v>
      </c>
      <c r="C11" s="5">
        <v>5</v>
      </c>
      <c r="D11" s="5">
        <v>94</v>
      </c>
      <c r="F11" s="8" t="s">
        <v>67</v>
      </c>
      <c r="G11" s="5" t="s">
        <v>17</v>
      </c>
      <c r="H11" s="7"/>
      <c r="I11" s="7"/>
      <c r="J11" s="8"/>
      <c r="K11" s="16">
        <f aca="true" t="shared" si="0" ref="K11:K22">IF($B11="E",$D11*$P11,0)</f>
        <v>1997.5</v>
      </c>
      <c r="L11" s="17">
        <f aca="true" t="shared" si="1" ref="L11:L22">IF($B11="E",0,$D11*$P11)</f>
        <v>0</v>
      </c>
      <c r="M11" s="22">
        <f aca="true" t="shared" si="2" ref="M11:M22">$K11*$O11</f>
        <v>2083.3925</v>
      </c>
      <c r="N11" s="22">
        <f aca="true" t="shared" si="3" ref="N11:N22">$L11*$O11</f>
        <v>0</v>
      </c>
      <c r="O11" s="14">
        <f aca="true" t="shared" si="4" ref="O11:O19">LOOKUP(C11,$F$4:$M$4,$F$5:$M$5)</f>
        <v>1.043</v>
      </c>
      <c r="P11" s="15">
        <f aca="true" t="shared" si="5" ref="P11:P19">(LEFT(F11,(FIND("'",F11)-1)))+((MID(F11,FIND("-",F11)+1,((FIND("""",F11)-(FIND("-",F11))-1))))/12)</f>
        <v>21.25</v>
      </c>
    </row>
    <row r="12" spans="1:16" s="4" customFormat="1" ht="12" customHeight="1">
      <c r="A12" s="4" t="s">
        <v>53</v>
      </c>
      <c r="B12" s="4" t="s">
        <v>16</v>
      </c>
      <c r="C12" s="5">
        <v>5</v>
      </c>
      <c r="D12" s="5">
        <v>2</v>
      </c>
      <c r="F12" s="8" t="s">
        <v>89</v>
      </c>
      <c r="G12" s="5" t="s">
        <v>17</v>
      </c>
      <c r="H12" s="7"/>
      <c r="I12" s="7"/>
      <c r="J12" s="8"/>
      <c r="K12" s="16">
        <f t="shared" si="0"/>
        <v>6.5</v>
      </c>
      <c r="L12" s="17">
        <f t="shared" si="1"/>
        <v>0</v>
      </c>
      <c r="M12" s="22">
        <f t="shared" si="2"/>
        <v>6.7795</v>
      </c>
      <c r="N12" s="22">
        <f t="shared" si="3"/>
        <v>0</v>
      </c>
      <c r="O12" s="14">
        <f t="shared" si="4"/>
        <v>1.043</v>
      </c>
      <c r="P12" s="15">
        <f t="shared" si="5"/>
        <v>3.25</v>
      </c>
    </row>
    <row r="13" spans="1:16" s="4" customFormat="1" ht="12" customHeight="1">
      <c r="A13" s="4" t="s">
        <v>53</v>
      </c>
      <c r="B13" s="4" t="s">
        <v>16</v>
      </c>
      <c r="C13" s="5">
        <v>5</v>
      </c>
      <c r="D13" s="5">
        <v>2</v>
      </c>
      <c r="F13" s="8" t="s">
        <v>90</v>
      </c>
      <c r="G13" s="5" t="s">
        <v>17</v>
      </c>
      <c r="H13" s="7"/>
      <c r="I13" s="7"/>
      <c r="J13" s="8"/>
      <c r="K13" s="16">
        <f t="shared" si="0"/>
        <v>5</v>
      </c>
      <c r="L13" s="17">
        <f t="shared" si="1"/>
        <v>0</v>
      </c>
      <c r="M13" s="22">
        <f t="shared" si="2"/>
        <v>5.215</v>
      </c>
      <c r="N13" s="22">
        <f t="shared" si="3"/>
        <v>0</v>
      </c>
      <c r="O13" s="14">
        <f t="shared" si="4"/>
        <v>1.043</v>
      </c>
      <c r="P13" s="15">
        <f t="shared" si="5"/>
        <v>2.5</v>
      </c>
    </row>
    <row r="14" spans="1:16" s="4" customFormat="1" ht="12" customHeight="1">
      <c r="A14" s="4" t="s">
        <v>53</v>
      </c>
      <c r="B14" s="4" t="s">
        <v>16</v>
      </c>
      <c r="C14" s="5">
        <v>5</v>
      </c>
      <c r="D14" s="5">
        <v>2</v>
      </c>
      <c r="F14" s="8" t="s">
        <v>91</v>
      </c>
      <c r="G14" s="5" t="s">
        <v>17</v>
      </c>
      <c r="H14" s="7"/>
      <c r="I14" s="7"/>
      <c r="J14" s="8"/>
      <c r="K14" s="16">
        <f t="shared" si="0"/>
        <v>7.833333333333333</v>
      </c>
      <c r="L14" s="17">
        <f t="shared" si="1"/>
        <v>0</v>
      </c>
      <c r="M14" s="22">
        <f t="shared" si="2"/>
        <v>8.170166666666665</v>
      </c>
      <c r="N14" s="22">
        <f t="shared" si="3"/>
        <v>0</v>
      </c>
      <c r="O14" s="14">
        <f t="shared" si="4"/>
        <v>1.043</v>
      </c>
      <c r="P14" s="15">
        <f t="shared" si="5"/>
        <v>3.9166666666666665</v>
      </c>
    </row>
    <row r="15" spans="1:16" s="4" customFormat="1" ht="12" customHeight="1">
      <c r="A15" s="4" t="s">
        <v>53</v>
      </c>
      <c r="B15" s="4" t="s">
        <v>16</v>
      </c>
      <c r="C15" s="5">
        <v>5</v>
      </c>
      <c r="D15" s="5">
        <v>311</v>
      </c>
      <c r="F15" s="8" t="s">
        <v>92</v>
      </c>
      <c r="G15" s="5" t="s">
        <v>17</v>
      </c>
      <c r="H15" s="7"/>
      <c r="I15" s="7"/>
      <c r="J15" s="8"/>
      <c r="K15" s="16">
        <f t="shared" si="0"/>
        <v>12440</v>
      </c>
      <c r="L15" s="17">
        <f t="shared" si="1"/>
        <v>0</v>
      </c>
      <c r="M15" s="22">
        <f t="shared" si="2"/>
        <v>12974.919999999998</v>
      </c>
      <c r="N15" s="22">
        <f t="shared" si="3"/>
        <v>0</v>
      </c>
      <c r="O15" s="14">
        <f t="shared" si="4"/>
        <v>1.043</v>
      </c>
      <c r="P15" s="15">
        <f t="shared" si="5"/>
        <v>40</v>
      </c>
    </row>
    <row r="16" spans="1:16" s="4" customFormat="1" ht="12" customHeight="1">
      <c r="A16" s="4" t="s">
        <v>53</v>
      </c>
      <c r="B16" s="4" t="s">
        <v>16</v>
      </c>
      <c r="C16" s="5">
        <v>5</v>
      </c>
      <c r="D16" s="5">
        <v>305</v>
      </c>
      <c r="F16" s="8" t="s">
        <v>93</v>
      </c>
      <c r="G16" s="5" t="s">
        <v>17</v>
      </c>
      <c r="H16" s="7"/>
      <c r="I16" s="7"/>
      <c r="J16" s="8"/>
      <c r="K16" s="16">
        <f t="shared" si="0"/>
        <v>1270.8333333333335</v>
      </c>
      <c r="L16" s="17">
        <f t="shared" si="1"/>
        <v>0</v>
      </c>
      <c r="M16" s="22">
        <f t="shared" si="2"/>
        <v>1325.4791666666667</v>
      </c>
      <c r="N16" s="22">
        <f t="shared" si="3"/>
        <v>0</v>
      </c>
      <c r="O16" s="14">
        <f t="shared" si="4"/>
        <v>1.043</v>
      </c>
      <c r="P16" s="15">
        <f t="shared" si="5"/>
        <v>4.166666666666667</v>
      </c>
    </row>
    <row r="17" spans="1:16" s="4" customFormat="1" ht="12" customHeight="1">
      <c r="A17" s="4" t="s">
        <v>95</v>
      </c>
      <c r="B17" s="4" t="s">
        <v>16</v>
      </c>
      <c r="C17" s="5">
        <v>5</v>
      </c>
      <c r="D17" s="5">
        <v>6</v>
      </c>
      <c r="F17" s="8" t="s">
        <v>94</v>
      </c>
      <c r="G17" s="5" t="s">
        <v>17</v>
      </c>
      <c r="H17" s="7"/>
      <c r="I17" s="7"/>
      <c r="J17" s="8"/>
      <c r="K17" s="16">
        <f t="shared" si="0"/>
        <v>83.5</v>
      </c>
      <c r="L17" s="17">
        <f t="shared" si="1"/>
        <v>0</v>
      </c>
      <c r="M17" s="22">
        <f t="shared" si="2"/>
        <v>87.09049999999999</v>
      </c>
      <c r="N17" s="22">
        <f t="shared" si="3"/>
        <v>0</v>
      </c>
      <c r="O17" s="14">
        <f t="shared" si="4"/>
        <v>1.043</v>
      </c>
      <c r="P17" s="15">
        <f t="shared" si="5"/>
        <v>13.916666666666666</v>
      </c>
    </row>
    <row r="18" spans="1:16" s="4" customFormat="1" ht="12" customHeight="1">
      <c r="A18" s="4" t="s">
        <v>95</v>
      </c>
      <c r="B18" s="4" t="s">
        <v>16</v>
      </c>
      <c r="C18" s="5">
        <v>5</v>
      </c>
      <c r="D18" s="5">
        <v>6</v>
      </c>
      <c r="F18" s="8" t="s">
        <v>92</v>
      </c>
      <c r="G18" s="5" t="s">
        <v>17</v>
      </c>
      <c r="H18" s="7"/>
      <c r="I18" s="7"/>
      <c r="J18" s="8"/>
      <c r="K18" s="16">
        <f t="shared" si="0"/>
        <v>240</v>
      </c>
      <c r="L18" s="17">
        <f t="shared" si="1"/>
        <v>0</v>
      </c>
      <c r="M18" s="22">
        <f t="shared" si="2"/>
        <v>250.32</v>
      </c>
      <c r="N18" s="22">
        <f t="shared" si="3"/>
        <v>0</v>
      </c>
      <c r="O18" s="14">
        <f t="shared" si="4"/>
        <v>1.043</v>
      </c>
      <c r="P18" s="15">
        <f t="shared" si="5"/>
        <v>40</v>
      </c>
    </row>
    <row r="19" spans="1:16" s="4" customFormat="1" ht="12" customHeight="1">
      <c r="A19" s="4" t="s">
        <v>54</v>
      </c>
      <c r="B19" s="4" t="s">
        <v>16</v>
      </c>
      <c r="C19" s="5">
        <v>10</v>
      </c>
      <c r="D19" s="5">
        <v>86</v>
      </c>
      <c r="F19" s="8" t="s">
        <v>96</v>
      </c>
      <c r="G19" s="5" t="s">
        <v>17</v>
      </c>
      <c r="H19" s="7"/>
      <c r="I19" s="7"/>
      <c r="J19" s="8"/>
      <c r="K19" s="16">
        <f t="shared" si="0"/>
        <v>5160</v>
      </c>
      <c r="L19" s="17">
        <f t="shared" si="1"/>
        <v>0</v>
      </c>
      <c r="M19" s="22">
        <f t="shared" si="2"/>
        <v>22203.48</v>
      </c>
      <c r="N19" s="22">
        <f t="shared" si="3"/>
        <v>0</v>
      </c>
      <c r="O19" s="14">
        <f t="shared" si="4"/>
        <v>4.303</v>
      </c>
      <c r="P19" s="15">
        <f t="shared" si="5"/>
        <v>60</v>
      </c>
    </row>
    <row r="20" spans="1:16" s="4" customFormat="1" ht="12" customHeight="1">
      <c r="A20" s="4" t="s">
        <v>54</v>
      </c>
      <c r="B20" s="4" t="s">
        <v>16</v>
      </c>
      <c r="C20" s="5">
        <v>10</v>
      </c>
      <c r="D20" s="5">
        <v>84</v>
      </c>
      <c r="F20" s="8" t="s">
        <v>97</v>
      </c>
      <c r="G20" s="5" t="s">
        <v>17</v>
      </c>
      <c r="H20" s="7"/>
      <c r="I20" s="7"/>
      <c r="J20" s="8"/>
      <c r="K20" s="16">
        <f t="shared" si="0"/>
        <v>2520</v>
      </c>
      <c r="L20" s="17">
        <f t="shared" si="1"/>
        <v>0</v>
      </c>
      <c r="M20" s="22">
        <f t="shared" si="2"/>
        <v>10843.56</v>
      </c>
      <c r="N20" s="22">
        <f t="shared" si="3"/>
        <v>0</v>
      </c>
      <c r="O20" s="14">
        <f>LOOKUP(C20,$F$4:$M$4,$F$5:$M$5)</f>
        <v>4.303</v>
      </c>
      <c r="P20" s="15">
        <f>(LEFT(F20,(FIND("'",F20)-1)))+((MID(F20,FIND("-",F20)+1,((FIND("""",F20)-(FIND("-",F20))-1))))/12)</f>
        <v>30</v>
      </c>
    </row>
    <row r="21" spans="1:16" s="4" customFormat="1" ht="12" customHeight="1">
      <c r="A21" s="4" t="s">
        <v>54</v>
      </c>
      <c r="B21" s="4" t="s">
        <v>16</v>
      </c>
      <c r="C21" s="5">
        <v>4</v>
      </c>
      <c r="D21" s="5">
        <v>86</v>
      </c>
      <c r="F21" s="8" t="s">
        <v>98</v>
      </c>
      <c r="G21" s="5" t="s">
        <v>17</v>
      </c>
      <c r="H21" s="7"/>
      <c r="I21" s="7"/>
      <c r="J21" s="8"/>
      <c r="K21" s="16">
        <f t="shared" si="0"/>
        <v>1275.6666666666667</v>
      </c>
      <c r="L21" s="17">
        <f t="shared" si="1"/>
        <v>0</v>
      </c>
      <c r="M21" s="22">
        <f t="shared" si="2"/>
        <v>852.1453333333334</v>
      </c>
      <c r="N21" s="22">
        <f t="shared" si="3"/>
        <v>0</v>
      </c>
      <c r="O21" s="14">
        <f>LOOKUP(C21,$F$4:$M$4,$F$5:$M$5)</f>
        <v>0.668</v>
      </c>
      <c r="P21" s="15">
        <f>(LEFT(F21,(FIND("'",F21)-1)))+((MID(F21,FIND("-",F21)+1,((FIND("""",F21)-(FIND("-",F21))-1))))/12)</f>
        <v>14.833333333333334</v>
      </c>
    </row>
    <row r="22" spans="1:16" s="4" customFormat="1" ht="12" customHeight="1">
      <c r="A22" s="4" t="s">
        <v>54</v>
      </c>
      <c r="B22" s="4" t="s">
        <v>16</v>
      </c>
      <c r="C22" s="5">
        <v>4</v>
      </c>
      <c r="D22" s="5">
        <v>430</v>
      </c>
      <c r="F22" s="8" t="s">
        <v>92</v>
      </c>
      <c r="G22" s="5" t="s">
        <v>17</v>
      </c>
      <c r="H22" s="7"/>
      <c r="I22" s="7"/>
      <c r="J22" s="8"/>
      <c r="K22" s="16">
        <f t="shared" si="0"/>
        <v>17200</v>
      </c>
      <c r="L22" s="17">
        <f t="shared" si="1"/>
        <v>0</v>
      </c>
      <c r="M22" s="22">
        <f t="shared" si="2"/>
        <v>11489.6</v>
      </c>
      <c r="N22" s="22">
        <f t="shared" si="3"/>
        <v>0</v>
      </c>
      <c r="O22" s="14">
        <f>LOOKUP(C22,$F$4:$M$4,$F$5:$M$5)</f>
        <v>0.668</v>
      </c>
      <c r="P22" s="15">
        <f>(LEFT(F22,(FIND("'",F22)-1)))+((MID(F22,FIND("-",F22)+1,((FIND("""",F22)-(FIND("-",F22))-1))))/12)</f>
        <v>40</v>
      </c>
    </row>
    <row r="23" spans="3:16" s="4" customFormat="1" ht="12" customHeight="1">
      <c r="C23" s="5"/>
      <c r="D23" s="5"/>
      <c r="F23" s="8"/>
      <c r="G23" s="5"/>
      <c r="H23" s="7"/>
      <c r="I23" s="7"/>
      <c r="J23" s="8"/>
      <c r="K23" s="16"/>
      <c r="L23" s="17"/>
      <c r="M23" s="22"/>
      <c r="N23" s="22"/>
      <c r="O23" s="14"/>
      <c r="P23" s="15"/>
    </row>
    <row r="24" spans="3:16" s="4" customFormat="1" ht="12" customHeight="1">
      <c r="C24" s="5"/>
      <c r="D24" s="5"/>
      <c r="F24" s="8"/>
      <c r="G24" s="5"/>
      <c r="H24" s="7"/>
      <c r="I24" s="7"/>
      <c r="J24" s="8"/>
      <c r="K24" s="16"/>
      <c r="L24" s="17"/>
      <c r="M24" s="22"/>
      <c r="N24" s="22"/>
      <c r="O24" s="14"/>
      <c r="P24" s="15"/>
    </row>
    <row r="25" spans="3:16" s="4" customFormat="1" ht="12" customHeight="1">
      <c r="C25" s="5"/>
      <c r="D25" s="5"/>
      <c r="F25" s="8"/>
      <c r="G25" s="5"/>
      <c r="H25" s="7"/>
      <c r="I25" s="7"/>
      <c r="J25" s="8"/>
      <c r="K25" s="16"/>
      <c r="L25" s="17"/>
      <c r="M25" s="22"/>
      <c r="N25" s="22"/>
      <c r="O25" s="14"/>
      <c r="P25" s="15"/>
    </row>
    <row r="26" spans="3:16" s="4" customFormat="1" ht="12" customHeight="1">
      <c r="C26" s="5"/>
      <c r="D26" s="5"/>
      <c r="F26" s="8"/>
      <c r="G26" s="5"/>
      <c r="H26" s="7"/>
      <c r="I26" s="7"/>
      <c r="J26" s="8"/>
      <c r="K26" s="16"/>
      <c r="L26" s="3"/>
      <c r="M26" s="22"/>
      <c r="N26" s="22"/>
      <c r="O26" s="14"/>
      <c r="P26" s="15"/>
    </row>
    <row r="27" spans="8:12" ht="15">
      <c r="H27" s="33" t="s">
        <v>20</v>
      </c>
      <c r="I27" s="33"/>
      <c r="J27" s="33"/>
      <c r="K27" s="33"/>
      <c r="L27" s="33"/>
    </row>
    <row r="28" spans="5:14" ht="15">
      <c r="E28" s="18"/>
      <c r="F28" s="33" t="s">
        <v>32</v>
      </c>
      <c r="G28" s="33"/>
      <c r="H28" s="33"/>
      <c r="I28" s="33"/>
      <c r="J28" s="18"/>
      <c r="K28" s="33" t="s">
        <v>33</v>
      </c>
      <c r="L28" s="33"/>
      <c r="M28" s="33"/>
      <c r="N28" s="33"/>
    </row>
    <row r="29" spans="5:14" ht="14.25">
      <c r="E29" s="18"/>
      <c r="F29" s="18"/>
      <c r="G29" s="18"/>
      <c r="H29" s="18"/>
      <c r="I29" s="18"/>
      <c r="J29" s="18"/>
      <c r="K29" s="18"/>
      <c r="L29" s="18"/>
      <c r="M29" s="18"/>
      <c r="N29" s="18"/>
    </row>
    <row r="30" spans="6:14" ht="12">
      <c r="F30" s="2" t="s">
        <v>34</v>
      </c>
      <c r="G30" s="2"/>
      <c r="H30" s="2" t="s">
        <v>23</v>
      </c>
      <c r="I30" s="2"/>
      <c r="K30" s="2" t="s">
        <v>34</v>
      </c>
      <c r="L30" s="2"/>
      <c r="M30" s="2" t="s">
        <v>23</v>
      </c>
      <c r="N30" s="2"/>
    </row>
    <row r="31" spans="6:14" ht="12">
      <c r="F31" s="2" t="s">
        <v>35</v>
      </c>
      <c r="G31" s="2" t="s">
        <v>9</v>
      </c>
      <c r="H31" s="2" t="s">
        <v>21</v>
      </c>
      <c r="I31" s="2"/>
      <c r="K31" s="2" t="s">
        <v>35</v>
      </c>
      <c r="L31" s="2" t="s">
        <v>9</v>
      </c>
      <c r="M31" s="2" t="s">
        <v>21</v>
      </c>
      <c r="N31" s="2"/>
    </row>
    <row r="32" spans="6:14" ht="12">
      <c r="F32" s="2" t="s">
        <v>22</v>
      </c>
      <c r="G32" s="2" t="s">
        <v>15</v>
      </c>
      <c r="H32" s="2" t="s">
        <v>22</v>
      </c>
      <c r="I32" s="2" t="s">
        <v>10</v>
      </c>
      <c r="K32" s="2" t="s">
        <v>22</v>
      </c>
      <c r="L32" s="2" t="s">
        <v>15</v>
      </c>
      <c r="M32" s="2" t="s">
        <v>22</v>
      </c>
      <c r="N32" s="2" t="s">
        <v>10</v>
      </c>
    </row>
    <row r="33" spans="6:14" ht="12">
      <c r="F33" s="2"/>
      <c r="G33" s="2"/>
      <c r="H33" s="2"/>
      <c r="I33" s="2"/>
      <c r="K33" s="2"/>
      <c r="L33" s="2"/>
      <c r="M33" s="2"/>
      <c r="N33" s="2"/>
    </row>
    <row r="34" spans="5:14" ht="12">
      <c r="E34">
        <f>SUMIF($C$11:$C$26,4,$D$11:$D$26)</f>
        <v>516</v>
      </c>
      <c r="F34" s="12">
        <f>SUMIF(C8:C27,"=4",K8:K27)</f>
        <v>18475.666666666668</v>
      </c>
      <c r="G34" s="2" t="s">
        <v>24</v>
      </c>
      <c r="H34" s="19">
        <f>F5</f>
        <v>0.668</v>
      </c>
      <c r="I34" s="20">
        <f>SUMIF(C8:C27,"=4",M8:M27)</f>
        <v>12341.745333333334</v>
      </c>
      <c r="K34" s="12">
        <f>SUMIF(C8:C27,"=4",L8:L27)</f>
        <v>0</v>
      </c>
      <c r="L34" s="2" t="s">
        <v>24</v>
      </c>
      <c r="M34" s="19">
        <f>F5</f>
        <v>0.668</v>
      </c>
      <c r="N34" s="20">
        <f>SUMIF(C8:C27,"=4",N8:N27)</f>
        <v>0</v>
      </c>
    </row>
    <row r="35" spans="5:14" ht="12">
      <c r="E35">
        <f>SUMIF($C$11:$C$26,5,$D$11:$D$26)</f>
        <v>728</v>
      </c>
      <c r="F35" s="12">
        <f>SUMIF(C8:C27,"=5",K8:K27)</f>
        <v>16051.166666666668</v>
      </c>
      <c r="G35" s="2" t="s">
        <v>25</v>
      </c>
      <c r="H35" s="19">
        <f>G5</f>
        <v>1.043</v>
      </c>
      <c r="I35" s="20">
        <f>SUMIF(C8:C27,"=5",M8:M27)</f>
        <v>16741.36683333333</v>
      </c>
      <c r="K35" s="12">
        <f>SUMIF(C8:C27,"=5",L8:L27)</f>
        <v>0</v>
      </c>
      <c r="L35" s="2" t="s">
        <v>25</v>
      </c>
      <c r="M35" s="19">
        <f>G5</f>
        <v>1.043</v>
      </c>
      <c r="N35" s="20">
        <f>SUMIF(C8:C27,"=5",N8:N27)</f>
        <v>0</v>
      </c>
    </row>
    <row r="36" spans="5:14" ht="12">
      <c r="E36">
        <f>SUMIF($C$11:$C$26,6,$D$11:$D$26)</f>
        <v>0</v>
      </c>
      <c r="F36" s="12">
        <f>SUMIF(C8:C27,"=6",K8:K27)</f>
        <v>0</v>
      </c>
      <c r="G36" s="2" t="s">
        <v>26</v>
      </c>
      <c r="H36" s="19">
        <f>H5</f>
        <v>1.502</v>
      </c>
      <c r="I36" s="20">
        <f>SUMIF(C8:C27,"=6",M8:M27)</f>
        <v>0</v>
      </c>
      <c r="K36" s="12">
        <f>SUMIF(C8:C27,"=6",L8:L27)</f>
        <v>0</v>
      </c>
      <c r="L36" s="2" t="s">
        <v>26</v>
      </c>
      <c r="M36" s="19">
        <f>H5</f>
        <v>1.502</v>
      </c>
      <c r="N36" s="20">
        <f>SUMIF(C8:C27,"=6",N8:N27)</f>
        <v>0</v>
      </c>
    </row>
    <row r="37" spans="5:14" ht="12">
      <c r="E37">
        <f>SUMIF($C$11:$C$26,7,$D$11:$D$26)</f>
        <v>0</v>
      </c>
      <c r="F37" s="12">
        <f>SUMIF(C8:C27,"=7",K8:K27)</f>
        <v>0</v>
      </c>
      <c r="G37" s="2" t="s">
        <v>27</v>
      </c>
      <c r="H37" s="19">
        <f>I5</f>
        <v>2.044</v>
      </c>
      <c r="I37" s="20">
        <f>SUMIF(C8:C27,"=7",M8:M27)</f>
        <v>0</v>
      </c>
      <c r="K37" s="12">
        <f>SUMIF(C8:C27,"=7",L8:L27)</f>
        <v>0</v>
      </c>
      <c r="L37" s="2" t="s">
        <v>27</v>
      </c>
      <c r="M37" s="19">
        <f>I5</f>
        <v>2.044</v>
      </c>
      <c r="N37" s="20">
        <f>SUMIF(C8:C27,"=7",N8:N27)</f>
        <v>0</v>
      </c>
    </row>
    <row r="38" spans="5:14" ht="12">
      <c r="E38">
        <f>SUMIF($C$11:$C$26,8,$D$11:$D$26)</f>
        <v>0</v>
      </c>
      <c r="F38" s="12">
        <f>SUMIF(C8:C27,"=8",K8:K27)</f>
        <v>0</v>
      </c>
      <c r="G38" s="2" t="s">
        <v>28</v>
      </c>
      <c r="H38" s="19">
        <f>J5</f>
        <v>2.67</v>
      </c>
      <c r="I38" s="20">
        <f>SUMIF(C8:C27,"=8",M8:M27)</f>
        <v>0</v>
      </c>
      <c r="K38" s="12">
        <f>SUMIF(C8:C27,"=8",L8:L27)</f>
        <v>0</v>
      </c>
      <c r="L38" s="2" t="s">
        <v>28</v>
      </c>
      <c r="M38" s="19">
        <f>J5</f>
        <v>2.67</v>
      </c>
      <c r="N38" s="20">
        <f>SUMIF(C8:C27,"=8",N8:N27)</f>
        <v>0</v>
      </c>
    </row>
    <row r="39" spans="5:14" ht="12">
      <c r="E39">
        <f>SUMIF($C$11:$C$26,9,$D$11:$D$26)</f>
        <v>0</v>
      </c>
      <c r="F39" s="12">
        <f>SUMIF(C8:C27,"=9",K8:K27)</f>
        <v>0</v>
      </c>
      <c r="G39" s="2" t="s">
        <v>29</v>
      </c>
      <c r="H39" s="19">
        <f>K5</f>
        <v>3.4</v>
      </c>
      <c r="I39" s="20">
        <f>SUMIF(C8:C27,"=9",M8:M27)</f>
        <v>0</v>
      </c>
      <c r="K39" s="12">
        <f>SUMIF(C8:C27,"=9",L8:L27)</f>
        <v>0</v>
      </c>
      <c r="L39" s="2" t="s">
        <v>29</v>
      </c>
      <c r="M39" s="19">
        <f>K5</f>
        <v>3.4</v>
      </c>
      <c r="N39" s="20">
        <f>SUMIF(C8:C27,"=9",N8:N27)</f>
        <v>0</v>
      </c>
    </row>
    <row r="40" spans="5:14" ht="12">
      <c r="E40">
        <f>SUMIF($C$11:$C$26,10,$D$11:$D$26)</f>
        <v>170</v>
      </c>
      <c r="F40" s="12">
        <f>SUMIF(C8:C27,"=10",K8:K27)</f>
        <v>7680</v>
      </c>
      <c r="G40" s="2" t="s">
        <v>30</v>
      </c>
      <c r="H40" s="19">
        <f>L5</f>
        <v>4.303</v>
      </c>
      <c r="I40" s="20">
        <f>SUMIF(C8:C27,"=10",M8:M27)</f>
        <v>33047.04</v>
      </c>
      <c r="K40" s="12">
        <f>SUMIF(C8:C27,"=10",L8:L27)</f>
        <v>0</v>
      </c>
      <c r="L40" s="2" t="s">
        <v>30</v>
      </c>
      <c r="M40" s="19">
        <f>L5</f>
        <v>4.303</v>
      </c>
      <c r="N40" s="20">
        <f>SUMIF(C8:C27,"=10",N8:N27)</f>
        <v>0</v>
      </c>
    </row>
    <row r="41" spans="5:14" ht="12">
      <c r="E41">
        <f>SUMIF($C$11:$C$26,1,$D$11:$D$26)</f>
        <v>0</v>
      </c>
      <c r="F41" s="12">
        <f>SUMIF(C8:C27,"=11",K8:K27)</f>
        <v>0</v>
      </c>
      <c r="G41" s="2" t="s">
        <v>31</v>
      </c>
      <c r="H41" s="19">
        <f>M5</f>
        <v>5.313</v>
      </c>
      <c r="I41" s="20">
        <f>SUMIF(C8:C27,"=11",M8:M27)</f>
        <v>0</v>
      </c>
      <c r="K41" s="12">
        <f>SUMIF(C8:C27,"=11",L8:L27)</f>
        <v>0</v>
      </c>
      <c r="L41" s="2" t="s">
        <v>31</v>
      </c>
      <c r="M41" s="19">
        <f>M5</f>
        <v>5.313</v>
      </c>
      <c r="N41" s="20">
        <f>SUMIF(C8:C27,"=11",N8:N27)</f>
        <v>0</v>
      </c>
    </row>
    <row r="42" spans="8:14" ht="12">
      <c r="H42" s="2" t="s">
        <v>3</v>
      </c>
      <c r="I42" s="21">
        <f>SUM(I34:I41)</f>
        <v>62130.15216666667</v>
      </c>
      <c r="M42" s="2" t="s">
        <v>3</v>
      </c>
      <c r="N42" s="21">
        <f>SUM(N34:N41)</f>
        <v>0</v>
      </c>
    </row>
    <row r="45" ht="12">
      <c r="A45" s="23"/>
    </row>
  </sheetData>
  <sheetProtection/>
  <mergeCells count="4">
    <mergeCell ref="A5:E5"/>
    <mergeCell ref="K28:N28"/>
    <mergeCell ref="H27:L27"/>
    <mergeCell ref="F28:I28"/>
  </mergeCells>
  <printOptions gridLines="1"/>
  <pageMargins left="0.25" right="0.25" top="0.5" bottom="0.5" header="0.25" footer="0.25"/>
  <pageSetup horizontalDpi="600" verticalDpi="600" orientation="landscape" scale="84" r:id="rId2"/>
  <headerFooter alignWithMargins="0">
    <oddHeader>&amp;C&amp;A&amp;R&amp;D</oddHeader>
    <oddFooter>&amp;CPage &amp;P of &amp;N</oddFooter>
  </headerFooter>
  <drawing r:id="rId1"/>
</worksheet>
</file>

<file path=xl/worksheets/sheet2.xml><?xml version="1.0" encoding="utf-8"?>
<worksheet xmlns="http://schemas.openxmlformats.org/spreadsheetml/2006/main" xmlns:r="http://schemas.openxmlformats.org/officeDocument/2006/relationships">
  <dimension ref="A1:P45"/>
  <sheetViews>
    <sheetView zoomScalePageLayoutView="0" workbookViewId="0" topLeftCell="A10">
      <selection activeCell="G50" sqref="G50"/>
    </sheetView>
  </sheetViews>
  <sheetFormatPr defaultColWidth="9.00390625" defaultRowHeight="12.75"/>
  <cols>
    <col min="1" max="1" width="27.75390625" style="0" customWidth="1"/>
    <col min="2" max="2" width="2.125" style="0" customWidth="1"/>
    <col min="3" max="3" width="4.875" style="0" customWidth="1"/>
    <col min="4" max="4" width="5.75390625" style="0" customWidth="1"/>
    <col min="5" max="5" width="5.50390625" style="0" customWidth="1"/>
    <col min="6" max="6" width="12.75390625" style="0" customWidth="1"/>
    <col min="7" max="10" width="10.75390625" style="0" customWidth="1"/>
    <col min="11" max="12" width="12.75390625" style="0" customWidth="1"/>
    <col min="13" max="14" width="10.75390625" style="0" customWidth="1"/>
    <col min="15" max="16" width="8.875" style="0" hidden="1" customWidth="1"/>
  </cols>
  <sheetData>
    <row r="1" spans="1:6" ht="12" customHeight="1">
      <c r="A1" s="1" t="str">
        <f>'Reinf Superstr.'!A1</f>
        <v>Project No: XXXXXXXX</v>
      </c>
      <c r="B1" s="4"/>
      <c r="C1" s="1"/>
      <c r="D1" s="4"/>
      <c r="E1" s="4"/>
      <c r="F1" s="4"/>
    </row>
    <row r="2" spans="1:6" ht="12" customHeight="1">
      <c r="A2" s="1" t="str">
        <f>'Reinf Superstr.'!A2</f>
        <v>Str. No.: X-XX-XXX</v>
      </c>
      <c r="B2" s="4"/>
      <c r="C2" s="1"/>
      <c r="D2" s="4"/>
      <c r="E2" s="4"/>
      <c r="F2" s="4"/>
    </row>
    <row r="3" spans="1:6" ht="12" customHeight="1">
      <c r="A3" s="1" t="str">
        <f>'Reinf Superstr.'!A3</f>
        <v>By: XXXXXXXXX</v>
      </c>
      <c r="B3" s="4"/>
      <c r="C3" s="1"/>
      <c r="D3" s="4"/>
      <c r="E3" s="4"/>
      <c r="F3" s="4"/>
    </row>
    <row r="4" spans="3:13" s="4" customFormat="1" ht="12" customHeight="1">
      <c r="C4" s="1"/>
      <c r="F4" s="9">
        <v>4</v>
      </c>
      <c r="G4" s="9">
        <v>5</v>
      </c>
      <c r="H4" s="9">
        <v>6</v>
      </c>
      <c r="I4" s="9">
        <v>7</v>
      </c>
      <c r="J4" s="9">
        <v>8</v>
      </c>
      <c r="K4" s="9">
        <v>9</v>
      </c>
      <c r="L4" s="9">
        <v>10</v>
      </c>
      <c r="M4" s="9">
        <v>11</v>
      </c>
    </row>
    <row r="5" spans="1:13" s="4" customFormat="1" ht="15">
      <c r="A5" s="32" t="s">
        <v>36</v>
      </c>
      <c r="B5" s="32"/>
      <c r="C5" s="32"/>
      <c r="D5" s="32"/>
      <c r="E5" s="32"/>
      <c r="F5" s="10">
        <v>0.668</v>
      </c>
      <c r="G5" s="10">
        <v>1.043</v>
      </c>
      <c r="H5" s="10">
        <v>1.502</v>
      </c>
      <c r="I5" s="10">
        <v>2.044</v>
      </c>
      <c r="J5" s="10">
        <v>2.67</v>
      </c>
      <c r="K5" s="11">
        <v>3.4</v>
      </c>
      <c r="L5" s="11">
        <v>4.303</v>
      </c>
      <c r="M5" s="11">
        <v>5.313</v>
      </c>
    </row>
    <row r="6" spans="1:13" s="4" customFormat="1" ht="12" customHeight="1">
      <c r="A6" s="23"/>
      <c r="C6" s="1"/>
      <c r="F6" s="10"/>
      <c r="G6" s="10"/>
      <c r="H6" s="10"/>
      <c r="I6" s="10"/>
      <c r="J6" s="10"/>
      <c r="K6" s="11"/>
      <c r="L6" s="11"/>
      <c r="M6" s="11"/>
    </row>
    <row r="7" spans="3:14" s="4" customFormat="1" ht="12" customHeight="1">
      <c r="C7" s="6"/>
      <c r="D7" s="6"/>
      <c r="E7" s="7" t="s">
        <v>0</v>
      </c>
      <c r="K7" s="12" t="s">
        <v>4</v>
      </c>
      <c r="L7" s="13" t="s">
        <v>5</v>
      </c>
      <c r="M7" s="13" t="s">
        <v>4</v>
      </c>
      <c r="N7" s="13" t="s">
        <v>5</v>
      </c>
    </row>
    <row r="8" spans="3:16" s="4" customFormat="1" ht="12" customHeight="1">
      <c r="C8" s="7" t="s">
        <v>9</v>
      </c>
      <c r="D8" s="7" t="s">
        <v>0</v>
      </c>
      <c r="E8" s="7" t="s">
        <v>8</v>
      </c>
      <c r="F8" s="8"/>
      <c r="G8" s="7"/>
      <c r="H8" s="6" t="s">
        <v>7</v>
      </c>
      <c r="I8" s="6"/>
      <c r="J8" s="6"/>
      <c r="K8" s="12" t="s">
        <v>1</v>
      </c>
      <c r="L8" s="13" t="s">
        <v>1</v>
      </c>
      <c r="M8" s="13" t="s">
        <v>1</v>
      </c>
      <c r="N8" s="13" t="s">
        <v>1</v>
      </c>
      <c r="P8" s="6"/>
    </row>
    <row r="9" spans="1:16" s="4" customFormat="1" ht="12" customHeight="1">
      <c r="A9" s="5" t="s">
        <v>18</v>
      </c>
      <c r="C9" s="7" t="s">
        <v>15</v>
      </c>
      <c r="D9" s="7" t="s">
        <v>8</v>
      </c>
      <c r="E9" s="5" t="s">
        <v>14</v>
      </c>
      <c r="F9" s="8" t="s">
        <v>2</v>
      </c>
      <c r="G9" s="7" t="s">
        <v>6</v>
      </c>
      <c r="H9" s="5" t="s">
        <v>11</v>
      </c>
      <c r="I9" s="5" t="s">
        <v>12</v>
      </c>
      <c r="J9" s="5" t="s">
        <v>13</v>
      </c>
      <c r="K9" s="12" t="s">
        <v>2</v>
      </c>
      <c r="L9" s="13" t="s">
        <v>2</v>
      </c>
      <c r="M9" s="13" t="s">
        <v>10</v>
      </c>
      <c r="N9" s="13" t="s">
        <v>10</v>
      </c>
      <c r="O9" s="5" t="s">
        <v>10</v>
      </c>
      <c r="P9" s="5" t="s">
        <v>2</v>
      </c>
    </row>
    <row r="10" spans="1:16" s="4" customFormat="1" ht="12" customHeight="1">
      <c r="A10" s="4" t="s">
        <v>38</v>
      </c>
      <c r="B10" s="4" t="s">
        <v>16</v>
      </c>
      <c r="C10" s="5">
        <v>11</v>
      </c>
      <c r="D10" s="5">
        <v>4</v>
      </c>
      <c r="F10" s="8" t="s">
        <v>101</v>
      </c>
      <c r="G10" s="5"/>
      <c r="H10" s="7"/>
      <c r="I10" s="7"/>
      <c r="J10" s="7"/>
      <c r="K10" s="16">
        <f>IF($B10="E",$D10*$P10,0)</f>
        <v>224.66666666666666</v>
      </c>
      <c r="L10" s="17">
        <f>IF($B10="E",0,$D10*$P10)</f>
        <v>0</v>
      </c>
      <c r="M10" s="22">
        <f>$K10*$O10</f>
        <v>1193.654</v>
      </c>
      <c r="N10" s="22">
        <f>$L10*$O10</f>
        <v>0</v>
      </c>
      <c r="O10" s="14">
        <f aca="true" t="shared" si="0" ref="O10:O23">LOOKUP(C10,$F$4:$M$4,$F$5:$M$5)</f>
        <v>5.313</v>
      </c>
      <c r="P10" s="15">
        <f aca="true" t="shared" si="1" ref="P10:P23">(LEFT(F10,(FIND("'",F10)-1)))+((MID(F10,FIND("-",F10)+1,((FIND("""",F10)-(FIND("-",F10))-1))))/12)</f>
        <v>56.166666666666664</v>
      </c>
    </row>
    <row r="11" spans="1:16" s="4" customFormat="1" ht="12" customHeight="1">
      <c r="A11" s="4" t="s">
        <v>102</v>
      </c>
      <c r="B11" s="4" t="s">
        <v>16</v>
      </c>
      <c r="C11" s="5">
        <v>6</v>
      </c>
      <c r="D11" s="5">
        <v>55</v>
      </c>
      <c r="F11" s="8" t="s">
        <v>68</v>
      </c>
      <c r="G11" s="5"/>
      <c r="H11" s="7"/>
      <c r="I11" s="7"/>
      <c r="J11" s="7"/>
      <c r="K11" s="16">
        <f>IF($B11="E",$D11*$P11,0)</f>
        <v>165</v>
      </c>
      <c r="L11" s="17">
        <f>IF($B11="E",0,$D11*$P11)</f>
        <v>0</v>
      </c>
      <c r="M11" s="22">
        <f>$K11*$O11</f>
        <v>247.83</v>
      </c>
      <c r="N11" s="22">
        <f>$L11*$O11</f>
        <v>0</v>
      </c>
      <c r="O11" s="14">
        <f t="shared" si="0"/>
        <v>1.502</v>
      </c>
      <c r="P11" s="15">
        <f t="shared" si="1"/>
        <v>3</v>
      </c>
    </row>
    <row r="12" spans="1:16" s="4" customFormat="1" ht="12" customHeight="1">
      <c r="A12" s="4" t="s">
        <v>38</v>
      </c>
      <c r="B12" s="4" t="s">
        <v>16</v>
      </c>
      <c r="C12" s="5">
        <v>5</v>
      </c>
      <c r="D12" s="5">
        <v>21</v>
      </c>
      <c r="F12" s="8" t="s">
        <v>92</v>
      </c>
      <c r="G12" s="5"/>
      <c r="H12" s="7"/>
      <c r="I12" s="7"/>
      <c r="J12" s="7"/>
      <c r="K12" s="16">
        <f>IF($B12="E",$D12*$P12,0)</f>
        <v>840</v>
      </c>
      <c r="L12" s="17">
        <f>IF($B12="E",0,$D12*$P12)</f>
        <v>0</v>
      </c>
      <c r="M12" s="22">
        <f>$K12*$O12</f>
        <v>876.1199999999999</v>
      </c>
      <c r="N12" s="22">
        <f>$L12*$O12</f>
        <v>0</v>
      </c>
      <c r="O12" s="14">
        <f t="shared" si="0"/>
        <v>1.043</v>
      </c>
      <c r="P12" s="15">
        <f t="shared" si="1"/>
        <v>40</v>
      </c>
    </row>
    <row r="13" spans="1:16" s="4" customFormat="1" ht="12" customHeight="1">
      <c r="A13" s="4" t="s">
        <v>38</v>
      </c>
      <c r="B13" s="4" t="s">
        <v>16</v>
      </c>
      <c r="C13" s="5">
        <v>5</v>
      </c>
      <c r="D13" s="5">
        <v>21</v>
      </c>
      <c r="F13" s="8" t="s">
        <v>103</v>
      </c>
      <c r="G13" s="5"/>
      <c r="H13" s="7"/>
      <c r="I13" s="7"/>
      <c r="J13" s="7"/>
      <c r="K13" s="16">
        <f>IF($B13="E",$D13*$P13,0)</f>
        <v>371</v>
      </c>
      <c r="L13" s="17">
        <f>IF($B13="E",0,$D13*$P13)</f>
        <v>0</v>
      </c>
      <c r="M13" s="22">
        <f>$K13*$O13</f>
        <v>386.953</v>
      </c>
      <c r="N13" s="22">
        <f>$L13*$O13</f>
        <v>0</v>
      </c>
      <c r="O13" s="14">
        <f t="shared" si="0"/>
        <v>1.043</v>
      </c>
      <c r="P13" s="15">
        <f t="shared" si="1"/>
        <v>17.666666666666668</v>
      </c>
    </row>
    <row r="14" spans="1:16" s="4" customFormat="1" ht="12" customHeight="1">
      <c r="A14" s="4" t="s">
        <v>47</v>
      </c>
      <c r="B14" s="4" t="s">
        <v>16</v>
      </c>
      <c r="C14" s="5">
        <v>5</v>
      </c>
      <c r="D14" s="5">
        <v>53</v>
      </c>
      <c r="F14" s="8" t="s">
        <v>131</v>
      </c>
      <c r="G14" s="5"/>
      <c r="H14" s="7"/>
      <c r="I14" s="7"/>
      <c r="J14" s="7"/>
      <c r="K14" s="16">
        <f aca="true" t="shared" si="2" ref="K14:K26">IF($B14="E",$D14*$P14,0)</f>
        <v>1426.5833333333335</v>
      </c>
      <c r="L14" s="17">
        <f aca="true" t="shared" si="3" ref="L14:L26">IF($B14="E",0,$D14*$P14)</f>
        <v>0</v>
      </c>
      <c r="M14" s="22">
        <f aca="true" t="shared" si="4" ref="M14:M26">$K14*$O14</f>
        <v>1487.9264166666667</v>
      </c>
      <c r="N14" s="22">
        <f aca="true" t="shared" si="5" ref="N14:N26">$L14*$O14</f>
        <v>0</v>
      </c>
      <c r="O14" s="14">
        <f t="shared" si="0"/>
        <v>1.043</v>
      </c>
      <c r="P14" s="15">
        <f t="shared" si="1"/>
        <v>26.916666666666668</v>
      </c>
    </row>
    <row r="15" spans="1:16" s="4" customFormat="1" ht="12" customHeight="1">
      <c r="A15" s="4" t="s">
        <v>47</v>
      </c>
      <c r="B15" s="4" t="s">
        <v>16</v>
      </c>
      <c r="C15" s="5">
        <v>5</v>
      </c>
      <c r="D15" s="5">
        <v>4</v>
      </c>
      <c r="F15" s="8" t="s">
        <v>126</v>
      </c>
      <c r="G15" s="5"/>
      <c r="H15" s="7"/>
      <c r="I15" s="7"/>
      <c r="J15" s="7"/>
      <c r="K15" s="16">
        <f t="shared" si="2"/>
        <v>123</v>
      </c>
      <c r="L15" s="17">
        <f t="shared" si="3"/>
        <v>0</v>
      </c>
      <c r="M15" s="22">
        <f t="shared" si="4"/>
        <v>128.289</v>
      </c>
      <c r="N15" s="22">
        <f t="shared" si="5"/>
        <v>0</v>
      </c>
      <c r="O15" s="14">
        <f>LOOKUP(C15,$F$4:$M$4,$F$5:$M$5)</f>
        <v>1.043</v>
      </c>
      <c r="P15" s="15">
        <f>(LEFT(F15,(FIND("'",F15)-1)))+((MID(F15,FIND("-",F15)+1,((FIND("""",F15)-(FIND("-",F15))-1))))/12)</f>
        <v>30.75</v>
      </c>
    </row>
    <row r="16" spans="1:16" s="4" customFormat="1" ht="12" customHeight="1">
      <c r="A16" s="4" t="s">
        <v>51</v>
      </c>
      <c r="B16" s="4" t="s">
        <v>16</v>
      </c>
      <c r="C16" s="5">
        <v>6</v>
      </c>
      <c r="D16" s="5">
        <v>55</v>
      </c>
      <c r="F16" s="8" t="s">
        <v>68</v>
      </c>
      <c r="G16" s="5"/>
      <c r="H16" s="7"/>
      <c r="I16" s="7"/>
      <c r="J16" s="7"/>
      <c r="K16" s="16">
        <f t="shared" si="2"/>
        <v>165</v>
      </c>
      <c r="L16" s="17">
        <f t="shared" si="3"/>
        <v>0</v>
      </c>
      <c r="M16" s="22">
        <f t="shared" si="4"/>
        <v>247.83</v>
      </c>
      <c r="N16" s="22">
        <f t="shared" si="5"/>
        <v>0</v>
      </c>
      <c r="O16" s="14">
        <f t="shared" si="0"/>
        <v>1.502</v>
      </c>
      <c r="P16" s="15">
        <f t="shared" si="1"/>
        <v>3</v>
      </c>
    </row>
    <row r="17" spans="1:16" s="4" customFormat="1" ht="12" customHeight="1">
      <c r="A17" s="4" t="s">
        <v>104</v>
      </c>
      <c r="B17" s="4" t="s">
        <v>16</v>
      </c>
      <c r="C17" s="5">
        <v>6</v>
      </c>
      <c r="D17" s="5">
        <v>55</v>
      </c>
      <c r="F17" s="8" t="s">
        <v>65</v>
      </c>
      <c r="G17" s="5"/>
      <c r="H17" s="7"/>
      <c r="I17" s="7"/>
      <c r="J17" s="7"/>
      <c r="K17" s="16">
        <f t="shared" si="2"/>
        <v>206.25</v>
      </c>
      <c r="L17" s="17">
        <f t="shared" si="3"/>
        <v>0</v>
      </c>
      <c r="M17" s="22">
        <f t="shared" si="4"/>
        <v>309.7875</v>
      </c>
      <c r="N17" s="22">
        <f t="shared" si="5"/>
        <v>0</v>
      </c>
      <c r="O17" s="14">
        <f t="shared" si="0"/>
        <v>1.502</v>
      </c>
      <c r="P17" s="15">
        <f t="shared" si="1"/>
        <v>3.75</v>
      </c>
    </row>
    <row r="18" spans="1:16" s="4" customFormat="1" ht="12" customHeight="1">
      <c r="A18" s="4" t="s">
        <v>48</v>
      </c>
      <c r="B18" s="4" t="s">
        <v>16</v>
      </c>
      <c r="C18" s="5">
        <v>4</v>
      </c>
      <c r="D18" s="5">
        <v>19</v>
      </c>
      <c r="F18" s="8" t="s">
        <v>109</v>
      </c>
      <c r="G18" s="5"/>
      <c r="H18" s="7"/>
      <c r="I18" s="7"/>
      <c r="J18" s="7"/>
      <c r="K18" s="16">
        <f t="shared" si="2"/>
        <v>424.3333333333333</v>
      </c>
      <c r="L18" s="17">
        <f t="shared" si="3"/>
        <v>0</v>
      </c>
      <c r="M18" s="22">
        <f t="shared" si="4"/>
        <v>283.4546666666667</v>
      </c>
      <c r="N18" s="22">
        <f t="shared" si="5"/>
        <v>0</v>
      </c>
      <c r="O18" s="14">
        <f t="shared" si="0"/>
        <v>0.668</v>
      </c>
      <c r="P18" s="15">
        <f t="shared" si="1"/>
        <v>22.333333333333332</v>
      </c>
    </row>
    <row r="19" spans="1:16" s="4" customFormat="1" ht="12" customHeight="1">
      <c r="A19" s="4" t="s">
        <v>52</v>
      </c>
      <c r="B19" s="4" t="s">
        <v>16</v>
      </c>
      <c r="C19" s="5">
        <v>7</v>
      </c>
      <c r="D19" s="5">
        <v>14</v>
      </c>
      <c r="F19" s="8" t="s">
        <v>88</v>
      </c>
      <c r="G19" s="5"/>
      <c r="H19" s="7"/>
      <c r="I19" s="7"/>
      <c r="J19" s="7"/>
      <c r="K19" s="16">
        <f t="shared" si="2"/>
        <v>249.66666666666666</v>
      </c>
      <c r="L19" s="17">
        <f t="shared" si="3"/>
        <v>0</v>
      </c>
      <c r="M19" s="22">
        <f t="shared" si="4"/>
        <v>510.3186666666667</v>
      </c>
      <c r="N19" s="22">
        <f t="shared" si="5"/>
        <v>0</v>
      </c>
      <c r="O19" s="14">
        <f t="shared" si="0"/>
        <v>2.044</v>
      </c>
      <c r="P19" s="15">
        <f t="shared" si="1"/>
        <v>17.833333333333332</v>
      </c>
    </row>
    <row r="20" spans="1:16" s="4" customFormat="1" ht="12" customHeight="1">
      <c r="A20" s="4" t="s">
        <v>52</v>
      </c>
      <c r="B20" s="4" t="s">
        <v>16</v>
      </c>
      <c r="C20" s="5">
        <v>7</v>
      </c>
      <c r="D20" s="5">
        <v>14</v>
      </c>
      <c r="F20" s="8" t="s">
        <v>69</v>
      </c>
      <c r="G20" s="5"/>
      <c r="H20" s="7"/>
      <c r="I20" s="8"/>
      <c r="J20" s="7"/>
      <c r="K20" s="16">
        <f t="shared" si="2"/>
        <v>235.66666666666666</v>
      </c>
      <c r="L20" s="17">
        <f t="shared" si="3"/>
        <v>0</v>
      </c>
      <c r="M20" s="22">
        <f t="shared" si="4"/>
        <v>481.70266666666663</v>
      </c>
      <c r="N20" s="22">
        <f t="shared" si="5"/>
        <v>0</v>
      </c>
      <c r="O20" s="14">
        <f t="shared" si="0"/>
        <v>2.044</v>
      </c>
      <c r="P20" s="15">
        <f t="shared" si="1"/>
        <v>16.833333333333332</v>
      </c>
    </row>
    <row r="21" spans="1:16" s="4" customFormat="1" ht="12" customHeight="1">
      <c r="A21" s="4" t="s">
        <v>49</v>
      </c>
      <c r="B21" s="4" t="s">
        <v>16</v>
      </c>
      <c r="C21" s="5">
        <v>5</v>
      </c>
      <c r="D21" s="5">
        <v>10</v>
      </c>
      <c r="F21" s="8" t="s">
        <v>105</v>
      </c>
      <c r="G21" s="5"/>
      <c r="H21" s="7"/>
      <c r="I21" s="7"/>
      <c r="J21" s="7"/>
      <c r="K21" s="16">
        <f t="shared" si="2"/>
        <v>109.16666666666666</v>
      </c>
      <c r="L21" s="17">
        <f t="shared" si="3"/>
        <v>0</v>
      </c>
      <c r="M21" s="22">
        <f t="shared" si="4"/>
        <v>113.86083333333332</v>
      </c>
      <c r="N21" s="22">
        <f t="shared" si="5"/>
        <v>0</v>
      </c>
      <c r="O21" s="14">
        <f t="shared" si="0"/>
        <v>1.043</v>
      </c>
      <c r="P21" s="15">
        <f t="shared" si="1"/>
        <v>10.916666666666666</v>
      </c>
    </row>
    <row r="22" spans="1:16" s="4" customFormat="1" ht="12" customHeight="1">
      <c r="A22" s="4" t="s">
        <v>48</v>
      </c>
      <c r="B22" s="4" t="s">
        <v>16</v>
      </c>
      <c r="C22" s="5">
        <v>6</v>
      </c>
      <c r="D22" s="5">
        <v>28</v>
      </c>
      <c r="F22" s="8" t="s">
        <v>106</v>
      </c>
      <c r="G22" s="5"/>
      <c r="H22" s="7"/>
      <c r="I22" s="8"/>
      <c r="J22" s="7"/>
      <c r="K22" s="16">
        <f t="shared" si="2"/>
        <v>196</v>
      </c>
      <c r="L22" s="17">
        <f t="shared" si="3"/>
        <v>0</v>
      </c>
      <c r="M22" s="22">
        <f t="shared" si="4"/>
        <v>294.392</v>
      </c>
      <c r="N22" s="22">
        <f t="shared" si="5"/>
        <v>0</v>
      </c>
      <c r="O22" s="14">
        <f t="shared" si="0"/>
        <v>1.502</v>
      </c>
      <c r="P22" s="15">
        <f t="shared" si="1"/>
        <v>7</v>
      </c>
    </row>
    <row r="23" spans="1:16" s="4" customFormat="1" ht="12" customHeight="1">
      <c r="A23" s="4" t="s">
        <v>52</v>
      </c>
      <c r="B23" s="4" t="s">
        <v>16</v>
      </c>
      <c r="C23" s="5">
        <v>9</v>
      </c>
      <c r="D23" s="5">
        <v>4</v>
      </c>
      <c r="F23" s="8" t="s">
        <v>77</v>
      </c>
      <c r="G23" s="5"/>
      <c r="H23" s="7"/>
      <c r="I23" s="8"/>
      <c r="J23" s="7"/>
      <c r="K23" s="16">
        <f t="shared" si="2"/>
        <v>71</v>
      </c>
      <c r="L23" s="17">
        <f t="shared" si="3"/>
        <v>0</v>
      </c>
      <c r="M23" s="22">
        <f t="shared" si="4"/>
        <v>241.4</v>
      </c>
      <c r="N23" s="22">
        <f t="shared" si="5"/>
        <v>0</v>
      </c>
      <c r="O23" s="14">
        <f t="shared" si="0"/>
        <v>3.4</v>
      </c>
      <c r="P23" s="15">
        <f t="shared" si="1"/>
        <v>17.75</v>
      </c>
    </row>
    <row r="24" spans="1:16" s="4" customFormat="1" ht="12" customHeight="1">
      <c r="A24" s="4" t="s">
        <v>48</v>
      </c>
      <c r="B24" s="4" t="s">
        <v>16</v>
      </c>
      <c r="C24" s="5">
        <v>6</v>
      </c>
      <c r="D24" s="5">
        <v>14</v>
      </c>
      <c r="F24" s="8" t="s">
        <v>86</v>
      </c>
      <c r="G24" s="5"/>
      <c r="H24" s="7"/>
      <c r="I24" s="8"/>
      <c r="J24" s="7"/>
      <c r="K24" s="16">
        <f t="shared" si="2"/>
        <v>88.66666666666666</v>
      </c>
      <c r="L24" s="17">
        <f t="shared" si="3"/>
        <v>0</v>
      </c>
      <c r="M24" s="22">
        <f t="shared" si="4"/>
        <v>133.1773333333333</v>
      </c>
      <c r="N24" s="22">
        <f t="shared" si="5"/>
        <v>0</v>
      </c>
      <c r="O24" s="14">
        <f>LOOKUP(C24,$F$4:$M$4,$F$5:$M$5)</f>
        <v>1.502</v>
      </c>
      <c r="P24" s="15">
        <f>(LEFT(F24,(FIND("'",F24)-1)))+((MID(F24,FIND("-",F24)+1,((FIND("""",F24)-(FIND("-",F24))-1))))/12)</f>
        <v>6.333333333333333</v>
      </c>
    </row>
    <row r="25" spans="1:16" s="4" customFormat="1" ht="12" customHeight="1">
      <c r="A25" s="4" t="s">
        <v>107</v>
      </c>
      <c r="B25" s="4" t="s">
        <v>16</v>
      </c>
      <c r="C25" s="5">
        <v>4</v>
      </c>
      <c r="D25" s="5">
        <v>7</v>
      </c>
      <c r="F25" s="8" t="s">
        <v>108</v>
      </c>
      <c r="G25" s="5"/>
      <c r="H25" s="7"/>
      <c r="I25" s="7"/>
      <c r="J25" s="7"/>
      <c r="K25" s="16">
        <f t="shared" si="2"/>
        <v>114.33333333333333</v>
      </c>
      <c r="L25" s="17">
        <f t="shared" si="3"/>
        <v>0</v>
      </c>
      <c r="M25" s="22">
        <f t="shared" si="4"/>
        <v>76.37466666666667</v>
      </c>
      <c r="N25" s="22">
        <f t="shared" si="5"/>
        <v>0</v>
      </c>
      <c r="O25" s="14">
        <f>LOOKUP(C25,$F$4:$M$4,$F$5:$M$5)</f>
        <v>0.668</v>
      </c>
      <c r="P25" s="15">
        <f>(LEFT(F25,(FIND("'",F25)-1)))+((MID(F25,FIND("-",F25)+1,((FIND("""",F25)-(FIND("-",F25))-1))))/12)</f>
        <v>16.333333333333332</v>
      </c>
    </row>
    <row r="26" spans="1:16" s="4" customFormat="1" ht="12" customHeight="1">
      <c r="A26" s="4" t="s">
        <v>107</v>
      </c>
      <c r="B26" s="4" t="s">
        <v>16</v>
      </c>
      <c r="C26" s="5">
        <v>4</v>
      </c>
      <c r="D26" s="5">
        <v>7</v>
      </c>
      <c r="F26" s="8" t="s">
        <v>75</v>
      </c>
      <c r="G26" s="5"/>
      <c r="H26" s="7"/>
      <c r="I26" s="7"/>
      <c r="J26" s="7"/>
      <c r="K26" s="16">
        <f t="shared" si="2"/>
        <v>110.83333333333334</v>
      </c>
      <c r="L26" s="17">
        <f t="shared" si="3"/>
        <v>0</v>
      </c>
      <c r="M26" s="22">
        <f t="shared" si="4"/>
        <v>74.03666666666668</v>
      </c>
      <c r="N26" s="22">
        <f t="shared" si="5"/>
        <v>0</v>
      </c>
      <c r="O26" s="14">
        <f>LOOKUP(C26,$F$4:$M$4,$F$5:$M$5)</f>
        <v>0.668</v>
      </c>
      <c r="P26" s="15">
        <f>(LEFT(F26,(FIND("'",F26)-1)))+((MID(F26,FIND("-",F26)+1,((FIND("""",F26)-(FIND("-",F26))-1))))/12)</f>
        <v>15.833333333333334</v>
      </c>
    </row>
    <row r="27" spans="3:16" s="4" customFormat="1" ht="12" customHeight="1">
      <c r="C27" s="5"/>
      <c r="D27" s="5"/>
      <c r="F27" s="8"/>
      <c r="G27" s="5"/>
      <c r="H27" s="7"/>
      <c r="I27" s="8"/>
      <c r="J27" s="7"/>
      <c r="K27" s="16"/>
      <c r="L27" s="17"/>
      <c r="M27" s="22"/>
      <c r="N27" s="22"/>
      <c r="O27" s="14"/>
      <c r="P27" s="15"/>
    </row>
    <row r="28" spans="3:16" s="4" customFormat="1" ht="12" customHeight="1">
      <c r="C28" s="5"/>
      <c r="D28" s="5"/>
      <c r="F28" s="8"/>
      <c r="G28" s="5"/>
      <c r="H28" s="7"/>
      <c r="I28" s="7"/>
      <c r="J28" s="7"/>
      <c r="K28" s="16"/>
      <c r="L28" s="17"/>
      <c r="M28" s="22"/>
      <c r="N28" s="22"/>
      <c r="O28" s="14"/>
      <c r="P28" s="15"/>
    </row>
    <row r="29" spans="1:10" ht="12">
      <c r="A29" s="4"/>
      <c r="G29" s="2"/>
      <c r="H29" s="7"/>
      <c r="I29" s="7"/>
      <c r="J29" s="7"/>
    </row>
    <row r="30" spans="8:12" ht="15">
      <c r="H30" s="33" t="s">
        <v>37</v>
      </c>
      <c r="I30" s="33"/>
      <c r="J30" s="33"/>
      <c r="K30" s="33"/>
      <c r="L30" s="33"/>
    </row>
    <row r="31" spans="5:14" ht="15">
      <c r="E31" s="18"/>
      <c r="F31" s="33" t="s">
        <v>32</v>
      </c>
      <c r="G31" s="33"/>
      <c r="H31" s="33"/>
      <c r="I31" s="33"/>
      <c r="J31" s="18"/>
      <c r="K31" s="33" t="s">
        <v>33</v>
      </c>
      <c r="L31" s="33"/>
      <c r="M31" s="33"/>
      <c r="N31" s="33"/>
    </row>
    <row r="32" spans="5:14" ht="14.25">
      <c r="E32" s="18"/>
      <c r="F32" s="18"/>
      <c r="G32" s="18"/>
      <c r="H32" s="18"/>
      <c r="I32" s="18"/>
      <c r="J32" s="18"/>
      <c r="K32" s="18"/>
      <c r="L32" s="18"/>
      <c r="M32" s="18"/>
      <c r="N32" s="18"/>
    </row>
    <row r="33" spans="6:14" ht="12">
      <c r="F33" s="2" t="s">
        <v>34</v>
      </c>
      <c r="G33" s="2"/>
      <c r="H33" s="2" t="s">
        <v>23</v>
      </c>
      <c r="I33" s="2"/>
      <c r="K33" s="2" t="s">
        <v>34</v>
      </c>
      <c r="L33" s="2"/>
      <c r="M33" s="2" t="s">
        <v>23</v>
      </c>
      <c r="N33" s="2"/>
    </row>
    <row r="34" spans="6:14" ht="12">
      <c r="F34" s="2" t="s">
        <v>35</v>
      </c>
      <c r="G34" s="2" t="s">
        <v>9</v>
      </c>
      <c r="H34" s="2" t="s">
        <v>21</v>
      </c>
      <c r="I34" s="2"/>
      <c r="K34" s="2" t="s">
        <v>35</v>
      </c>
      <c r="L34" s="2" t="s">
        <v>9</v>
      </c>
      <c r="M34" s="2" t="s">
        <v>21</v>
      </c>
      <c r="N34" s="2"/>
    </row>
    <row r="35" spans="6:14" ht="12">
      <c r="F35" s="2" t="s">
        <v>22</v>
      </c>
      <c r="G35" s="2" t="s">
        <v>15</v>
      </c>
      <c r="H35" s="2" t="s">
        <v>22</v>
      </c>
      <c r="I35" s="2" t="s">
        <v>10</v>
      </c>
      <c r="K35" s="2" t="s">
        <v>22</v>
      </c>
      <c r="L35" s="2" t="s">
        <v>15</v>
      </c>
      <c r="M35" s="2" t="s">
        <v>22</v>
      </c>
      <c r="N35" s="2" t="s">
        <v>10</v>
      </c>
    </row>
    <row r="36" spans="6:14" ht="12">
      <c r="F36" s="2"/>
      <c r="G36" s="2"/>
      <c r="H36" s="2"/>
      <c r="I36" s="2"/>
      <c r="K36" s="2"/>
      <c r="L36" s="2"/>
      <c r="M36" s="2"/>
      <c r="N36" s="2"/>
    </row>
    <row r="37" spans="5:14" ht="12">
      <c r="E37">
        <f>SUMIF($C$10:$C$26,4,$D$10:$D$26)</f>
        <v>33</v>
      </c>
      <c r="F37" s="12">
        <f>SUMIF(C7:C30,"=4",K7:K30)</f>
        <v>649.5</v>
      </c>
      <c r="G37" s="2" t="s">
        <v>24</v>
      </c>
      <c r="H37" s="19">
        <f>F5</f>
        <v>0.668</v>
      </c>
      <c r="I37" s="20">
        <f>SUMIF(C7:C30,"=4",M7:M30)</f>
        <v>433.86600000000004</v>
      </c>
      <c r="K37" s="12">
        <f>SUMIF(C7:C30,"=4",L7:L30)</f>
        <v>0</v>
      </c>
      <c r="L37" s="2" t="s">
        <v>24</v>
      </c>
      <c r="M37" s="19">
        <f>F5</f>
        <v>0.668</v>
      </c>
      <c r="N37" s="20">
        <f>SUMIF(C7:C30,"=4",N7:N30)</f>
        <v>0</v>
      </c>
    </row>
    <row r="38" spans="5:14" ht="12">
      <c r="E38">
        <f>SUMIF($C$10:$C$26,5,$D$10:$D$26)</f>
        <v>109</v>
      </c>
      <c r="F38" s="12">
        <f>SUMIF(C7:C30,"=5",K7:K30)</f>
        <v>2869.75</v>
      </c>
      <c r="G38" s="2" t="s">
        <v>25</v>
      </c>
      <c r="H38" s="19">
        <f>G5</f>
        <v>1.043</v>
      </c>
      <c r="I38" s="20">
        <f>SUMIF(C7:C30,"=5",M7:M30)</f>
        <v>2993.1492499999995</v>
      </c>
      <c r="K38" s="12">
        <f>SUMIF(C7:C30,"=5",L7:L30)</f>
        <v>0</v>
      </c>
      <c r="L38" s="2" t="s">
        <v>25</v>
      </c>
      <c r="M38" s="19">
        <f>G5</f>
        <v>1.043</v>
      </c>
      <c r="N38" s="20">
        <f>SUMIF(C7:C30,"=5",N7:N30)</f>
        <v>0</v>
      </c>
    </row>
    <row r="39" spans="5:14" ht="12">
      <c r="E39">
        <f>SUMIF($C$11:$C$26,6,$D$11:$D$26)</f>
        <v>207</v>
      </c>
      <c r="F39" s="12">
        <f>SUMIF(C7:C30,"=6",K7:K30)</f>
        <v>820.9166666666666</v>
      </c>
      <c r="G39" s="2" t="s">
        <v>26</v>
      </c>
      <c r="H39" s="19">
        <f>H5</f>
        <v>1.502</v>
      </c>
      <c r="I39" s="20">
        <f>SUMIF(C7:C30,"=6",M7:M30)</f>
        <v>1233.0168333333334</v>
      </c>
      <c r="K39" s="12">
        <f>SUMIF(C7:C30,"=6",L7:L30)</f>
        <v>0</v>
      </c>
      <c r="L39" s="2" t="s">
        <v>26</v>
      </c>
      <c r="M39" s="19">
        <f>H5</f>
        <v>1.502</v>
      </c>
      <c r="N39" s="20">
        <f>SUMIF(C7:C30,"=6",N7:N30)</f>
        <v>0</v>
      </c>
    </row>
    <row r="40" spans="5:14" ht="12">
      <c r="E40">
        <f>SUMIF($C$11:$C$26,7,$D$11:$D$26)</f>
        <v>28</v>
      </c>
      <c r="F40" s="12">
        <f>SUMIF(C7:C30,"=7",K7:K30)</f>
        <v>485.3333333333333</v>
      </c>
      <c r="G40" s="2" t="s">
        <v>27</v>
      </c>
      <c r="H40" s="19">
        <f>I5</f>
        <v>2.044</v>
      </c>
      <c r="I40" s="20">
        <f>SUMIF(C7:C30,"=7",M7:M30)</f>
        <v>992.0213333333334</v>
      </c>
      <c r="K40" s="12">
        <f>SUMIF(C7:C30,"=7",L7:L30)</f>
        <v>0</v>
      </c>
      <c r="L40" s="2" t="s">
        <v>27</v>
      </c>
      <c r="M40" s="19">
        <f>I5</f>
        <v>2.044</v>
      </c>
      <c r="N40" s="20">
        <f>SUMIF(C7:C30,"=7",N7:N30)</f>
        <v>0</v>
      </c>
    </row>
    <row r="41" spans="5:14" ht="12">
      <c r="E41">
        <f>SUMIF($C$11:$C$26,8,$D$11:$D$26)</f>
        <v>0</v>
      </c>
      <c r="F41" s="12">
        <f>SUMIF(C7:C30,"=8",K7:K30)</f>
        <v>0</v>
      </c>
      <c r="G41" s="2" t="s">
        <v>28</v>
      </c>
      <c r="H41" s="19">
        <f>J5</f>
        <v>2.67</v>
      </c>
      <c r="I41" s="20">
        <f>SUMIF(C7:C30,"=8",M7:M30)</f>
        <v>0</v>
      </c>
      <c r="K41" s="12">
        <f>SUMIF(C7:C30,"=8",L7:L30)</f>
        <v>0</v>
      </c>
      <c r="L41" s="2" t="s">
        <v>28</v>
      </c>
      <c r="M41" s="19">
        <f>J5</f>
        <v>2.67</v>
      </c>
      <c r="N41" s="20">
        <f>SUMIF(C7:C30,"=8",N7:N30)</f>
        <v>0</v>
      </c>
    </row>
    <row r="42" spans="5:14" ht="12">
      <c r="E42">
        <f>SUMIF($C$11:$C$26,9,$D$11:$D$26)</f>
        <v>4</v>
      </c>
      <c r="F42" s="12">
        <f>SUMIF(C7:C30,"=9",K7:K30)</f>
        <v>71</v>
      </c>
      <c r="G42" s="2" t="s">
        <v>29</v>
      </c>
      <c r="H42" s="19">
        <f>K5</f>
        <v>3.4</v>
      </c>
      <c r="I42" s="20">
        <f>SUMIF(C7:C30,"=9",M7:M30)</f>
        <v>241.4</v>
      </c>
      <c r="K42" s="12">
        <f>SUMIF(C7:C30,"=9",L7:L30)</f>
        <v>0</v>
      </c>
      <c r="L42" s="2" t="s">
        <v>29</v>
      </c>
      <c r="M42" s="19">
        <f>K5</f>
        <v>3.4</v>
      </c>
      <c r="N42" s="20">
        <f>SUMIF(C7:C30,"=9",N7:N30)</f>
        <v>0</v>
      </c>
    </row>
    <row r="43" spans="5:14" ht="12">
      <c r="E43">
        <f>SUMIF($C$11:$C$26,10,$D$11:$D$26)</f>
        <v>0</v>
      </c>
      <c r="F43" s="12">
        <f>SUMIF(C7:C30,"=10",K7:K30)</f>
        <v>0</v>
      </c>
      <c r="G43" s="2" t="s">
        <v>30</v>
      </c>
      <c r="H43" s="19">
        <f>L5</f>
        <v>4.303</v>
      </c>
      <c r="I43" s="20">
        <f>SUMIF(C7:C30,"=10",M7:M30)</f>
        <v>0</v>
      </c>
      <c r="K43" s="12">
        <f>SUMIF(C7:C30,"=10",L7:L30)</f>
        <v>0</v>
      </c>
      <c r="L43" s="2" t="s">
        <v>30</v>
      </c>
      <c r="M43" s="19">
        <f>L5</f>
        <v>4.303</v>
      </c>
      <c r="N43" s="20">
        <f>SUMIF(C7:C30,"=10",N7:N30)</f>
        <v>0</v>
      </c>
    </row>
    <row r="44" spans="5:14" ht="12">
      <c r="E44">
        <f>SUMIF($C$11:$C$26,11,$D$11:$D$26)</f>
        <v>0</v>
      </c>
      <c r="F44" s="12">
        <f>SUMIF(C7:C30,"=11",K7:K30)</f>
        <v>224.66666666666666</v>
      </c>
      <c r="G44" s="2" t="s">
        <v>31</v>
      </c>
      <c r="H44" s="19">
        <f>M5</f>
        <v>5.313</v>
      </c>
      <c r="I44" s="20">
        <f>SUMIF(C7:C30,"=11",M7:M30)</f>
        <v>1193.654</v>
      </c>
      <c r="K44" s="12">
        <f>SUMIF(C7:C30,"=11",L7:L30)</f>
        <v>0</v>
      </c>
      <c r="L44" s="2" t="s">
        <v>31</v>
      </c>
      <c r="M44" s="19">
        <f>M5</f>
        <v>5.313</v>
      </c>
      <c r="N44" s="20">
        <f>SUMIF(C7:C30,"=11",N7:N30)</f>
        <v>0</v>
      </c>
    </row>
    <row r="45" spans="8:14" ht="12">
      <c r="H45" s="2" t="s">
        <v>3</v>
      </c>
      <c r="I45" s="21">
        <f>SUM(I37:I44)</f>
        <v>7087.107416666666</v>
      </c>
      <c r="M45" s="2" t="s">
        <v>3</v>
      </c>
      <c r="N45" s="21">
        <f>SUM(N37:N44)</f>
        <v>0</v>
      </c>
    </row>
  </sheetData>
  <sheetProtection/>
  <mergeCells count="4">
    <mergeCell ref="A5:E5"/>
    <mergeCell ref="H30:L30"/>
    <mergeCell ref="F31:I31"/>
    <mergeCell ref="K31:N31"/>
  </mergeCells>
  <printOptions gridLines="1"/>
  <pageMargins left="0.25" right="0.25" top="0.5" bottom="0.5" header="0.25" footer="0.25"/>
  <pageSetup horizontalDpi="600" verticalDpi="600" orientation="landscape" scale="68" r:id="rId2"/>
  <headerFooter alignWithMargins="0">
    <oddHeader>&amp;C&amp;A&amp;R&amp;D</oddHeader>
    <oddFooter>&amp;CPage &amp;P of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P41"/>
  <sheetViews>
    <sheetView zoomScalePageLayoutView="0" workbookViewId="0" topLeftCell="A28">
      <selection activeCell="A53" sqref="A53"/>
    </sheetView>
  </sheetViews>
  <sheetFormatPr defaultColWidth="9.00390625" defaultRowHeight="12.75"/>
  <cols>
    <col min="1" max="1" width="30.00390625" style="0" customWidth="1"/>
    <col min="2" max="2" width="2.125" style="0" customWidth="1"/>
    <col min="3" max="3" width="4.875" style="0" customWidth="1"/>
    <col min="4" max="4" width="5.75390625" style="0" customWidth="1"/>
    <col min="5" max="5" width="5.50390625" style="0" customWidth="1"/>
    <col min="6" max="6" width="12.75390625" style="0" customWidth="1"/>
    <col min="7" max="10" width="10.75390625" style="0" customWidth="1"/>
    <col min="11" max="12" width="12.75390625" style="0" customWidth="1"/>
    <col min="13" max="14" width="10.75390625" style="0" customWidth="1"/>
    <col min="15" max="16" width="8.875" style="0" hidden="1" customWidth="1"/>
  </cols>
  <sheetData>
    <row r="1" spans="1:6" ht="12" customHeight="1">
      <c r="A1" s="1" t="str">
        <f>'Reinf Superstr.'!A1</f>
        <v>Project No: XXXXXXXX</v>
      </c>
      <c r="B1" s="4"/>
      <c r="C1" s="1"/>
      <c r="D1" s="4"/>
      <c r="E1" s="4"/>
      <c r="F1" s="4"/>
    </row>
    <row r="2" spans="1:6" ht="12" customHeight="1">
      <c r="A2" s="1" t="str">
        <f>'Reinf Superstr.'!A2</f>
        <v>Str. No.: X-XX-XXX</v>
      </c>
      <c r="B2" s="4"/>
      <c r="C2" s="1"/>
      <c r="D2" s="4"/>
      <c r="E2" s="4"/>
      <c r="F2" s="4"/>
    </row>
    <row r="3" spans="1:6" ht="12" customHeight="1">
      <c r="A3" s="1" t="str">
        <f>'Reinf Superstr.'!A3</f>
        <v>By: XXXXXXXXX</v>
      </c>
      <c r="B3" s="4"/>
      <c r="C3" s="1"/>
      <c r="D3" s="4"/>
      <c r="E3" s="4"/>
      <c r="F3" s="4"/>
    </row>
    <row r="4" spans="3:13" s="4" customFormat="1" ht="12" customHeight="1">
      <c r="C4" s="1"/>
      <c r="F4" s="9">
        <v>4</v>
      </c>
      <c r="G4" s="9">
        <v>5</v>
      </c>
      <c r="H4" s="9">
        <v>6</v>
      </c>
      <c r="I4" s="9">
        <v>7</v>
      </c>
      <c r="J4" s="9">
        <v>8</v>
      </c>
      <c r="K4" s="9">
        <v>9</v>
      </c>
      <c r="L4" s="9">
        <v>10</v>
      </c>
      <c r="M4" s="9">
        <v>11</v>
      </c>
    </row>
    <row r="5" spans="1:13" s="4" customFormat="1" ht="15">
      <c r="A5" s="32" t="s">
        <v>39</v>
      </c>
      <c r="B5" s="32"/>
      <c r="C5" s="32"/>
      <c r="D5" s="32"/>
      <c r="E5" s="32"/>
      <c r="F5" s="10">
        <v>0.668</v>
      </c>
      <c r="G5" s="10">
        <v>1.043</v>
      </c>
      <c r="H5" s="10">
        <v>1.502</v>
      </c>
      <c r="I5" s="10">
        <v>2.044</v>
      </c>
      <c r="J5" s="10">
        <v>2.67</v>
      </c>
      <c r="K5" s="11">
        <v>3.4</v>
      </c>
      <c r="L5" s="11">
        <v>4.303</v>
      </c>
      <c r="M5" s="11">
        <v>5.313</v>
      </c>
    </row>
    <row r="6" spans="3:13" s="4" customFormat="1" ht="12" customHeight="1">
      <c r="C6" s="1"/>
      <c r="F6" s="10"/>
      <c r="G6" s="10"/>
      <c r="H6" s="10"/>
      <c r="I6" s="10"/>
      <c r="J6" s="10"/>
      <c r="K6" s="11"/>
      <c r="L6" s="11"/>
      <c r="M6" s="11"/>
    </row>
    <row r="7" spans="3:14" s="4" customFormat="1" ht="12" customHeight="1">
      <c r="C7" s="6"/>
      <c r="D7" s="6"/>
      <c r="E7" s="7" t="s">
        <v>0</v>
      </c>
      <c r="K7" s="12" t="s">
        <v>4</v>
      </c>
      <c r="L7" s="13" t="s">
        <v>5</v>
      </c>
      <c r="M7" s="13" t="s">
        <v>4</v>
      </c>
      <c r="N7" s="13" t="s">
        <v>5</v>
      </c>
    </row>
    <row r="8" spans="3:16" s="4" customFormat="1" ht="12" customHeight="1">
      <c r="C8" s="7" t="s">
        <v>9</v>
      </c>
      <c r="D8" s="7" t="s">
        <v>0</v>
      </c>
      <c r="E8" s="7" t="s">
        <v>8</v>
      </c>
      <c r="F8" s="8"/>
      <c r="G8" s="7"/>
      <c r="H8" s="6" t="s">
        <v>7</v>
      </c>
      <c r="I8" s="6"/>
      <c r="J8" s="6"/>
      <c r="K8" s="12" t="s">
        <v>1</v>
      </c>
      <c r="L8" s="13" t="s">
        <v>1</v>
      </c>
      <c r="M8" s="13" t="s">
        <v>1</v>
      </c>
      <c r="N8" s="13" t="s">
        <v>1</v>
      </c>
      <c r="P8" s="6"/>
    </row>
    <row r="9" spans="1:16" s="4" customFormat="1" ht="12" customHeight="1">
      <c r="A9" s="5" t="s">
        <v>18</v>
      </c>
      <c r="C9" s="7" t="s">
        <v>15</v>
      </c>
      <c r="D9" s="7" t="s">
        <v>8</v>
      </c>
      <c r="E9" s="5" t="s">
        <v>14</v>
      </c>
      <c r="F9" s="8" t="s">
        <v>2</v>
      </c>
      <c r="G9" s="7" t="s">
        <v>6</v>
      </c>
      <c r="H9" s="5" t="s">
        <v>11</v>
      </c>
      <c r="I9" s="5" t="s">
        <v>12</v>
      </c>
      <c r="J9" s="5" t="s">
        <v>13</v>
      </c>
      <c r="K9" s="12" t="s">
        <v>2</v>
      </c>
      <c r="L9" s="13" t="s">
        <v>2</v>
      </c>
      <c r="M9" s="13" t="s">
        <v>10</v>
      </c>
      <c r="N9" s="13" t="s">
        <v>10</v>
      </c>
      <c r="O9" s="5" t="s">
        <v>10</v>
      </c>
      <c r="P9" s="5" t="s">
        <v>2</v>
      </c>
    </row>
    <row r="10" spans="1:16" s="4" customFormat="1" ht="12" customHeight="1">
      <c r="A10" s="4" t="s">
        <v>42</v>
      </c>
      <c r="C10" s="5">
        <v>11</v>
      </c>
      <c r="D10" s="5">
        <v>6</v>
      </c>
      <c r="F10" s="8" t="s">
        <v>111</v>
      </c>
      <c r="G10" s="5" t="s">
        <v>17</v>
      </c>
      <c r="H10" s="7"/>
      <c r="I10" s="7"/>
      <c r="J10" s="8"/>
      <c r="K10" s="16">
        <f>IF($B10="E",$D10*$P10,0)</f>
        <v>0</v>
      </c>
      <c r="L10" s="17">
        <f>IF($B10="E",0,$D10*$P10)</f>
        <v>319.5</v>
      </c>
      <c r="M10" s="22">
        <f>$K10*$O10</f>
        <v>0</v>
      </c>
      <c r="N10" s="22">
        <f>$L10*$O10</f>
        <v>1697.5034999999998</v>
      </c>
      <c r="O10" s="14">
        <f>LOOKUP(C10,$F$4:$M$4,$F$5:$M$5)</f>
        <v>5.313</v>
      </c>
      <c r="P10" s="15">
        <f>(LEFT(F10,(FIND("'",F10)-1)))+((MID(F10,FIND("-",F10)+1,((FIND("""",F10)-(FIND("-",F10))-1))))/12)</f>
        <v>53.25</v>
      </c>
    </row>
    <row r="11" spans="1:16" s="4" customFormat="1" ht="12" customHeight="1">
      <c r="A11" s="4" t="s">
        <v>42</v>
      </c>
      <c r="C11" s="5">
        <v>11</v>
      </c>
      <c r="D11" s="5">
        <v>4</v>
      </c>
      <c r="F11" s="8" t="s">
        <v>110</v>
      </c>
      <c r="G11" s="5" t="s">
        <v>17</v>
      </c>
      <c r="H11" s="7"/>
      <c r="I11" s="7"/>
      <c r="J11" s="8"/>
      <c r="K11" s="16">
        <f aca="true" t="shared" si="0" ref="K11:K17">IF($B11="E",$D11*$P11,0)</f>
        <v>0</v>
      </c>
      <c r="L11" s="17">
        <f aca="true" t="shared" si="1" ref="L11:L17">IF($B11="E",0,$D11*$P11)</f>
        <v>210</v>
      </c>
      <c r="M11" s="22">
        <f aca="true" t="shared" si="2" ref="M11:M17">$K11*$O11</f>
        <v>0</v>
      </c>
      <c r="N11" s="22">
        <f aca="true" t="shared" si="3" ref="N11:N17">$L11*$O11</f>
        <v>1115.73</v>
      </c>
      <c r="O11" s="14">
        <f aca="true" t="shared" si="4" ref="O11:O18">LOOKUP(C11,$F$4:$M$4,$F$5:$M$5)</f>
        <v>5.313</v>
      </c>
      <c r="P11" s="15">
        <f aca="true" t="shared" si="5" ref="P11:P18">(LEFT(F11,(FIND("'",F11)-1)))+((MID(F11,FIND("-",F11)+1,((FIND("""",F11)-(FIND("-",F11))-1))))/12)</f>
        <v>52.5</v>
      </c>
    </row>
    <row r="12" spans="1:16" s="4" customFormat="1" ht="12" customHeight="1">
      <c r="A12" s="4" t="s">
        <v>42</v>
      </c>
      <c r="C12" s="5">
        <v>11</v>
      </c>
      <c r="D12" s="5">
        <v>4</v>
      </c>
      <c r="F12" s="8" t="s">
        <v>112</v>
      </c>
      <c r="G12" s="5" t="s">
        <v>17</v>
      </c>
      <c r="H12" s="7"/>
      <c r="I12" s="7"/>
      <c r="J12" s="8"/>
      <c r="K12" s="16">
        <f t="shared" si="0"/>
        <v>0</v>
      </c>
      <c r="L12" s="17">
        <f t="shared" si="1"/>
        <v>201.66666666666666</v>
      </c>
      <c r="M12" s="22">
        <f t="shared" si="2"/>
        <v>0</v>
      </c>
      <c r="N12" s="22">
        <f t="shared" si="3"/>
        <v>1071.455</v>
      </c>
      <c r="O12" s="14">
        <f t="shared" si="4"/>
        <v>5.313</v>
      </c>
      <c r="P12" s="15">
        <f t="shared" si="5"/>
        <v>50.416666666666664</v>
      </c>
    </row>
    <row r="13" spans="1:16" s="4" customFormat="1" ht="12" customHeight="1">
      <c r="A13" s="4" t="s">
        <v>42</v>
      </c>
      <c r="C13" s="5">
        <v>5</v>
      </c>
      <c r="D13" s="5">
        <v>4</v>
      </c>
      <c r="F13" s="8" t="s">
        <v>113</v>
      </c>
      <c r="G13" s="5"/>
      <c r="H13" s="7"/>
      <c r="I13" s="7"/>
      <c r="J13" s="8"/>
      <c r="K13" s="16">
        <f t="shared" si="0"/>
        <v>0</v>
      </c>
      <c r="L13" s="17">
        <f t="shared" si="1"/>
        <v>33</v>
      </c>
      <c r="M13" s="22">
        <f t="shared" si="2"/>
        <v>0</v>
      </c>
      <c r="N13" s="22">
        <f t="shared" si="3"/>
        <v>34.419</v>
      </c>
      <c r="O13" s="14">
        <f t="shared" si="4"/>
        <v>1.043</v>
      </c>
      <c r="P13" s="15">
        <f t="shared" si="5"/>
        <v>8.25</v>
      </c>
    </row>
    <row r="14" spans="1:16" s="4" customFormat="1" ht="12" customHeight="1">
      <c r="A14" s="4" t="s">
        <v>42</v>
      </c>
      <c r="C14" s="5">
        <v>5</v>
      </c>
      <c r="D14" s="5">
        <v>6</v>
      </c>
      <c r="F14" s="8" t="s">
        <v>92</v>
      </c>
      <c r="G14" s="5" t="s">
        <v>17</v>
      </c>
      <c r="H14" s="7"/>
      <c r="I14" s="7"/>
      <c r="J14" s="8"/>
      <c r="K14" s="16">
        <f t="shared" si="0"/>
        <v>0</v>
      </c>
      <c r="L14" s="17">
        <f t="shared" si="1"/>
        <v>240</v>
      </c>
      <c r="M14" s="22">
        <f t="shared" si="2"/>
        <v>0</v>
      </c>
      <c r="N14" s="22">
        <f t="shared" si="3"/>
        <v>250.32</v>
      </c>
      <c r="O14" s="14">
        <f t="shared" si="4"/>
        <v>1.043</v>
      </c>
      <c r="P14" s="15">
        <f t="shared" si="5"/>
        <v>40</v>
      </c>
    </row>
    <row r="15" spans="1:16" s="4" customFormat="1" ht="12" customHeight="1">
      <c r="A15" s="4" t="s">
        <v>42</v>
      </c>
      <c r="C15" s="5">
        <v>5</v>
      </c>
      <c r="D15" s="5">
        <v>6</v>
      </c>
      <c r="F15" s="8" t="s">
        <v>66</v>
      </c>
      <c r="G15" s="5" t="s">
        <v>17</v>
      </c>
      <c r="H15" s="7"/>
      <c r="I15" s="7"/>
      <c r="J15" s="8"/>
      <c r="K15" s="16">
        <f t="shared" si="0"/>
        <v>0</v>
      </c>
      <c r="L15" s="17">
        <f t="shared" si="1"/>
        <v>70.5</v>
      </c>
      <c r="M15" s="22">
        <f t="shared" si="2"/>
        <v>0</v>
      </c>
      <c r="N15" s="22">
        <f t="shared" si="3"/>
        <v>73.5315</v>
      </c>
      <c r="O15" s="14">
        <f t="shared" si="4"/>
        <v>1.043</v>
      </c>
      <c r="P15" s="15">
        <f t="shared" si="5"/>
        <v>11.75</v>
      </c>
    </row>
    <row r="16" spans="1:16" s="4" customFormat="1" ht="12" customHeight="1">
      <c r="A16" s="4" t="s">
        <v>42</v>
      </c>
      <c r="C16" s="5">
        <v>5</v>
      </c>
      <c r="D16" s="5">
        <v>6</v>
      </c>
      <c r="F16" s="8" t="s">
        <v>113</v>
      </c>
      <c r="G16" s="5"/>
      <c r="H16" s="7"/>
      <c r="I16" s="7"/>
      <c r="J16" s="8"/>
      <c r="K16" s="16">
        <f t="shared" si="0"/>
        <v>0</v>
      </c>
      <c r="L16" s="17">
        <f t="shared" si="1"/>
        <v>49.5</v>
      </c>
      <c r="M16" s="22">
        <f t="shared" si="2"/>
        <v>0</v>
      </c>
      <c r="N16" s="22">
        <f t="shared" si="3"/>
        <v>51.628499999999995</v>
      </c>
      <c r="O16" s="14">
        <f t="shared" si="4"/>
        <v>1.043</v>
      </c>
      <c r="P16" s="15">
        <f t="shared" si="5"/>
        <v>8.25</v>
      </c>
    </row>
    <row r="17" spans="1:16" s="4" customFormat="1" ht="12" customHeight="1">
      <c r="A17" s="4" t="s">
        <v>99</v>
      </c>
      <c r="B17" s="4" t="s">
        <v>16</v>
      </c>
      <c r="C17" s="5">
        <v>6</v>
      </c>
      <c r="D17" s="5">
        <v>107</v>
      </c>
      <c r="F17" s="8" t="s">
        <v>127</v>
      </c>
      <c r="G17" s="5" t="s">
        <v>100</v>
      </c>
      <c r="H17" s="7"/>
      <c r="I17" s="7"/>
      <c r="J17" s="8"/>
      <c r="K17" s="16">
        <f t="shared" si="0"/>
        <v>650.9166666666666</v>
      </c>
      <c r="L17" s="17">
        <f t="shared" si="1"/>
        <v>0</v>
      </c>
      <c r="M17" s="22">
        <f t="shared" si="2"/>
        <v>977.6768333333333</v>
      </c>
      <c r="N17" s="22">
        <f t="shared" si="3"/>
        <v>0</v>
      </c>
      <c r="O17" s="14">
        <f t="shared" si="4"/>
        <v>1.502</v>
      </c>
      <c r="P17" s="15">
        <f t="shared" si="5"/>
        <v>6.083333333333333</v>
      </c>
    </row>
    <row r="18" spans="1:16" s="4" customFormat="1" ht="12" customHeight="1">
      <c r="A18" s="4" t="s">
        <v>44</v>
      </c>
      <c r="C18" s="5">
        <v>5</v>
      </c>
      <c r="D18" s="5">
        <v>2</v>
      </c>
      <c r="F18" s="8" t="s">
        <v>88</v>
      </c>
      <c r="G18" s="5" t="s">
        <v>100</v>
      </c>
      <c r="H18" s="7"/>
      <c r="I18" s="7"/>
      <c r="J18" s="8"/>
      <c r="K18" s="16">
        <f>IF($B18="E",$D18*$P18,0)</f>
        <v>0</v>
      </c>
      <c r="L18" s="17">
        <f>IF($B18="E",0,$D18*$P18)</f>
        <v>35.666666666666664</v>
      </c>
      <c r="M18" s="22">
        <f>$K18*$O18</f>
        <v>0</v>
      </c>
      <c r="N18" s="22">
        <f>$L18*$O18</f>
        <v>37.200333333333326</v>
      </c>
      <c r="O18" s="14">
        <f t="shared" si="4"/>
        <v>1.043</v>
      </c>
      <c r="P18" s="15">
        <f t="shared" si="5"/>
        <v>17.833333333333332</v>
      </c>
    </row>
    <row r="19" spans="1:16" s="4" customFormat="1" ht="12" customHeight="1">
      <c r="A19" s="4" t="s">
        <v>44</v>
      </c>
      <c r="C19" s="5">
        <v>5</v>
      </c>
      <c r="D19" s="5">
        <v>2</v>
      </c>
      <c r="F19" s="8" t="s">
        <v>69</v>
      </c>
      <c r="G19" s="5" t="s">
        <v>100</v>
      </c>
      <c r="H19" s="7"/>
      <c r="I19" s="7"/>
      <c r="J19" s="8"/>
      <c r="K19" s="16">
        <f>IF($B19="E",$D19*$P19,0)</f>
        <v>0</v>
      </c>
      <c r="L19" s="17">
        <f>IF($B19="E",0,$D19*$P19)</f>
        <v>33.666666666666664</v>
      </c>
      <c r="M19" s="22">
        <f>$K19*$O19</f>
        <v>0</v>
      </c>
      <c r="N19" s="22">
        <f>$L19*$O19</f>
        <v>35.11433333333333</v>
      </c>
      <c r="O19" s="14">
        <f>LOOKUP(C19,$F$4:$M$4,$F$5:$M$5)</f>
        <v>1.043</v>
      </c>
      <c r="P19" s="15">
        <f>(LEFT(F19,(FIND("'",F19)-1)))+((MID(F19,FIND("-",F19)+1,((FIND("""",F19)-(FIND("-",F19))-1))))/12)</f>
        <v>16.833333333333332</v>
      </c>
    </row>
    <row r="20" spans="1:16" s="4" customFormat="1" ht="12" customHeight="1">
      <c r="A20" s="4" t="s">
        <v>44</v>
      </c>
      <c r="C20" s="5">
        <v>5</v>
      </c>
      <c r="D20" s="5">
        <v>101</v>
      </c>
      <c r="F20" s="8" t="s">
        <v>114</v>
      </c>
      <c r="G20" s="5" t="s">
        <v>100</v>
      </c>
      <c r="H20" s="7"/>
      <c r="I20" s="7"/>
      <c r="J20" s="8"/>
      <c r="K20" s="16">
        <f>IF($B20="E",$D20*$P20,0)</f>
        <v>0</v>
      </c>
      <c r="L20" s="17">
        <f>IF($B20="E",0,$D20*$P20)</f>
        <v>1851.6666666666665</v>
      </c>
      <c r="M20" s="22">
        <f>$K20*$O20</f>
        <v>0</v>
      </c>
      <c r="N20" s="22">
        <f>$L20*$O20</f>
        <v>1931.288333333333</v>
      </c>
      <c r="O20" s="14">
        <f>LOOKUP(C20,$F$4:$M$4,$F$5:$M$5)</f>
        <v>1.043</v>
      </c>
      <c r="P20" s="15">
        <f>(LEFT(F20,(FIND("'",F20)-1)))+((MID(F20,FIND("-",F20)+1,((FIND("""",F20)-(FIND("-",F20))-1))))/12)</f>
        <v>18.333333333333332</v>
      </c>
    </row>
    <row r="21" spans="1:16" s="4" customFormat="1" ht="12" customHeight="1">
      <c r="A21" s="4" t="s">
        <v>41</v>
      </c>
      <c r="C21" s="5">
        <v>8</v>
      </c>
      <c r="D21" s="5">
        <v>15</v>
      </c>
      <c r="F21" s="8" t="s">
        <v>117</v>
      </c>
      <c r="G21" s="5" t="s">
        <v>17</v>
      </c>
      <c r="H21" s="7"/>
      <c r="I21" s="7"/>
      <c r="J21" s="8"/>
      <c r="K21" s="16">
        <f>IF($B21="E",$D21*$P21,0)</f>
        <v>0</v>
      </c>
      <c r="L21" s="17">
        <f>IF($B21="E",0,$D21*$P21)</f>
        <v>175</v>
      </c>
      <c r="M21" s="22">
        <f>$K21*$O21</f>
        <v>0</v>
      </c>
      <c r="N21" s="22">
        <f>$L21*$O21</f>
        <v>467.25</v>
      </c>
      <c r="O21" s="14">
        <f>LOOKUP(C21,$F$4:$M$4,$F$5:$M$5)</f>
        <v>2.67</v>
      </c>
      <c r="P21" s="15">
        <f>(LEFT(F21,(FIND("'",F21)-1)))+((MID(F21,FIND("-",F21)+1,((FIND("""",F21)-(FIND("-",F21))-1))))/12)</f>
        <v>11.666666666666666</v>
      </c>
    </row>
    <row r="22" spans="1:16" s="4" customFormat="1" ht="12" customHeight="1">
      <c r="A22" s="4" t="s">
        <v>115</v>
      </c>
      <c r="C22" s="5">
        <v>4</v>
      </c>
      <c r="D22" s="5">
        <v>13</v>
      </c>
      <c r="F22" s="8" t="s">
        <v>61</v>
      </c>
      <c r="G22" s="5"/>
      <c r="H22" s="7"/>
      <c r="I22" s="7"/>
      <c r="J22" s="8"/>
      <c r="K22" s="16">
        <f>IF($B22="E",$D22*$P22,0)</f>
        <v>0</v>
      </c>
      <c r="L22" s="17">
        <f>IF($B22="E",0,$D22*$P22)</f>
        <v>101.83333333333333</v>
      </c>
      <c r="M22" s="22">
        <f>$K22*$O22</f>
        <v>0</v>
      </c>
      <c r="N22" s="22">
        <f>$L22*$O22</f>
        <v>68.02466666666666</v>
      </c>
      <c r="O22" s="14">
        <f>LOOKUP(C22,$F$4:$M$4,$F$5:$M$5)</f>
        <v>0.668</v>
      </c>
      <c r="P22" s="15">
        <f>(LEFT(F22,(FIND("'",F22)-1)))+((MID(F22,FIND("-",F22)+1,((FIND("""",F22)-(FIND("-",F22))-1))))/12)</f>
        <v>7.833333333333333</v>
      </c>
    </row>
    <row r="23" spans="1:16" s="4" customFormat="1" ht="12" customHeight="1">
      <c r="A23" s="5"/>
      <c r="C23" s="7"/>
      <c r="D23" s="7"/>
      <c r="E23" s="5"/>
      <c r="F23" s="8"/>
      <c r="G23" s="7"/>
      <c r="H23" s="5"/>
      <c r="I23" s="5"/>
      <c r="J23" s="5"/>
      <c r="K23" s="12"/>
      <c r="L23" s="13"/>
      <c r="M23" s="13"/>
      <c r="N23" s="13"/>
      <c r="O23" s="5"/>
      <c r="P23" s="5"/>
    </row>
    <row r="24" spans="1:16" s="4" customFormat="1" ht="12" customHeight="1">
      <c r="A24" s="5"/>
      <c r="C24" s="7"/>
      <c r="D24" s="7"/>
      <c r="E24" s="5"/>
      <c r="F24" s="8"/>
      <c r="G24" s="7"/>
      <c r="H24" s="5"/>
      <c r="I24" s="5"/>
      <c r="J24" s="5"/>
      <c r="K24" s="12"/>
      <c r="L24" s="13"/>
      <c r="M24" s="13"/>
      <c r="N24" s="13"/>
      <c r="O24" s="5"/>
      <c r="P24" s="5"/>
    </row>
    <row r="25" spans="1:16" s="4" customFormat="1" ht="12" customHeight="1">
      <c r="A25" s="5"/>
      <c r="C25" s="7"/>
      <c r="D25" s="7"/>
      <c r="E25" s="5"/>
      <c r="F25" s="8"/>
      <c r="G25" s="7"/>
      <c r="H25" s="5"/>
      <c r="I25" s="5"/>
      <c r="J25" s="5"/>
      <c r="K25" s="12"/>
      <c r="L25" s="13"/>
      <c r="M25" s="13"/>
      <c r="N25" s="13"/>
      <c r="O25" s="5"/>
      <c r="P25" s="5"/>
    </row>
    <row r="26" spans="8:12" ht="15">
      <c r="H26" s="33" t="s">
        <v>40</v>
      </c>
      <c r="I26" s="33"/>
      <c r="J26" s="33"/>
      <c r="K26" s="33"/>
      <c r="L26" s="33"/>
    </row>
    <row r="27" spans="5:14" ht="15">
      <c r="E27" s="18"/>
      <c r="F27" s="33" t="s">
        <v>32</v>
      </c>
      <c r="G27" s="33"/>
      <c r="H27" s="33"/>
      <c r="I27" s="33"/>
      <c r="J27" s="18"/>
      <c r="K27" s="33" t="s">
        <v>33</v>
      </c>
      <c r="L27" s="33"/>
      <c r="M27" s="33"/>
      <c r="N27" s="33"/>
    </row>
    <row r="28" spans="5:14" ht="14.25">
      <c r="E28" s="18"/>
      <c r="F28" s="18"/>
      <c r="G28" s="18"/>
      <c r="H28" s="18"/>
      <c r="I28" s="18"/>
      <c r="J28" s="18"/>
      <c r="K28" s="18"/>
      <c r="L28" s="18"/>
      <c r="M28" s="18"/>
      <c r="N28" s="18"/>
    </row>
    <row r="29" spans="6:14" ht="12">
      <c r="F29" s="2" t="s">
        <v>34</v>
      </c>
      <c r="G29" s="2"/>
      <c r="H29" s="2" t="s">
        <v>23</v>
      </c>
      <c r="I29" s="2"/>
      <c r="K29" s="2" t="s">
        <v>34</v>
      </c>
      <c r="L29" s="2"/>
      <c r="M29" s="2" t="s">
        <v>23</v>
      </c>
      <c r="N29" s="2"/>
    </row>
    <row r="30" spans="6:14" ht="12">
      <c r="F30" s="2" t="s">
        <v>35</v>
      </c>
      <c r="G30" s="2" t="s">
        <v>9</v>
      </c>
      <c r="H30" s="2" t="s">
        <v>21</v>
      </c>
      <c r="I30" s="2"/>
      <c r="K30" s="2" t="s">
        <v>35</v>
      </c>
      <c r="L30" s="2" t="s">
        <v>9</v>
      </c>
      <c r="M30" s="2" t="s">
        <v>21</v>
      </c>
      <c r="N30" s="2"/>
    </row>
    <row r="31" spans="6:14" ht="12">
      <c r="F31" s="2" t="s">
        <v>22</v>
      </c>
      <c r="G31" s="2" t="s">
        <v>15</v>
      </c>
      <c r="H31" s="2" t="s">
        <v>22</v>
      </c>
      <c r="I31" s="2" t="s">
        <v>10</v>
      </c>
      <c r="K31" s="2" t="s">
        <v>22</v>
      </c>
      <c r="L31" s="2" t="s">
        <v>15</v>
      </c>
      <c r="M31" s="2" t="s">
        <v>22</v>
      </c>
      <c r="N31" s="2" t="s">
        <v>10</v>
      </c>
    </row>
    <row r="32" spans="6:14" ht="12">
      <c r="F32" s="2"/>
      <c r="G32" s="2"/>
      <c r="H32" s="2"/>
      <c r="I32" s="2"/>
      <c r="K32" s="2"/>
      <c r="L32" s="2"/>
      <c r="M32" s="2"/>
      <c r="N32" s="2"/>
    </row>
    <row r="33" spans="5:14" ht="12">
      <c r="E33">
        <f>SUMIF($C$11:$C$26,4,$D$11:$D$26)</f>
        <v>13</v>
      </c>
      <c r="F33" s="12">
        <f>SUMIF(C7:C26,"=4",K7:K26)</f>
        <v>0</v>
      </c>
      <c r="G33" s="2" t="s">
        <v>24</v>
      </c>
      <c r="H33" s="19">
        <f>F5</f>
        <v>0.668</v>
      </c>
      <c r="I33" s="20">
        <f>SUMIF(C7:C26,"=4",M7:M26)</f>
        <v>0</v>
      </c>
      <c r="K33" s="12">
        <f>SUMIF(C7:C26,"=4",L7:L26)</f>
        <v>101.83333333333333</v>
      </c>
      <c r="L33" s="2" t="s">
        <v>24</v>
      </c>
      <c r="M33" s="19">
        <f>F5</f>
        <v>0.668</v>
      </c>
      <c r="N33" s="20">
        <f>SUMIF(C7:C26,"=4",N7:N26)</f>
        <v>68.02466666666666</v>
      </c>
    </row>
    <row r="34" spans="5:14" ht="12">
      <c r="E34">
        <f>SUMIF($C$11:$C$26,5,$D$11:$D$26)</f>
        <v>127</v>
      </c>
      <c r="F34" s="12">
        <f>SUMIF(C7:C26,"=5",K7:K26)</f>
        <v>0</v>
      </c>
      <c r="G34" s="2" t="s">
        <v>25</v>
      </c>
      <c r="H34" s="19">
        <f>G5</f>
        <v>1.043</v>
      </c>
      <c r="I34" s="20">
        <f>SUMIF(C7:C26,"=5",M7:M26)</f>
        <v>0</v>
      </c>
      <c r="K34" s="12">
        <f>SUMIF(C7:C26,"=5",L7:L26)</f>
        <v>2314</v>
      </c>
      <c r="L34" s="2" t="s">
        <v>25</v>
      </c>
      <c r="M34" s="19">
        <f>G5</f>
        <v>1.043</v>
      </c>
      <c r="N34" s="20">
        <f>SUMIF(C7:C26,"=5",N7:N26)</f>
        <v>2413.5019999999995</v>
      </c>
    </row>
    <row r="35" spans="5:14" ht="12">
      <c r="E35">
        <f>SUMIF($C$11:$C$26,6,$D$11:$D$26)</f>
        <v>107</v>
      </c>
      <c r="F35" s="12">
        <f>SUMIF(C7:C26,"=6",K7:K26)</f>
        <v>650.9166666666666</v>
      </c>
      <c r="G35" s="2" t="s">
        <v>26</v>
      </c>
      <c r="H35" s="19">
        <f>H5</f>
        <v>1.502</v>
      </c>
      <c r="I35" s="20">
        <f>SUMIF(C7:C26,"=6",M7:M26)</f>
        <v>977.6768333333333</v>
      </c>
      <c r="K35" s="12">
        <f>SUMIF(C7:C26,"=6",L7:L26)</f>
        <v>0</v>
      </c>
      <c r="L35" s="2" t="s">
        <v>26</v>
      </c>
      <c r="M35" s="19">
        <f>H5</f>
        <v>1.502</v>
      </c>
      <c r="N35" s="20">
        <f>SUMIF(C7:C26,"=6",N7:N26)</f>
        <v>0</v>
      </c>
    </row>
    <row r="36" spans="5:14" ht="12">
      <c r="E36">
        <f>SUMIF($C$11:$C$26,7,$D$11:$D$26)</f>
        <v>0</v>
      </c>
      <c r="F36" s="12">
        <f>SUMIF(C7:C26,"=7",K7:K26)</f>
        <v>0</v>
      </c>
      <c r="G36" s="2" t="s">
        <v>27</v>
      </c>
      <c r="H36" s="19">
        <f>I5</f>
        <v>2.044</v>
      </c>
      <c r="I36" s="20">
        <f>SUMIF(C7:C26,"=7",M7:M26)</f>
        <v>0</v>
      </c>
      <c r="K36" s="12">
        <f>SUMIF(C7:C26,"=7",L7:L26)</f>
        <v>0</v>
      </c>
      <c r="L36" s="2" t="s">
        <v>27</v>
      </c>
      <c r="M36" s="19">
        <f>I5</f>
        <v>2.044</v>
      </c>
      <c r="N36" s="20">
        <f>SUMIF(C7:C26,"=7",N7:N26)</f>
        <v>0</v>
      </c>
    </row>
    <row r="37" spans="5:14" ht="12">
      <c r="E37">
        <f>SUMIF($C$11:$C$26,8,$D$11:$D$26)</f>
        <v>15</v>
      </c>
      <c r="F37" s="12">
        <f>SUMIF(C7:C26,"=8",K7:K26)</f>
        <v>0</v>
      </c>
      <c r="G37" s="2" t="s">
        <v>28</v>
      </c>
      <c r="H37" s="19">
        <f>J5</f>
        <v>2.67</v>
      </c>
      <c r="I37" s="20">
        <f>SUMIF(C7:C26,"=8",M7:M26)</f>
        <v>0</v>
      </c>
      <c r="K37" s="12">
        <f>SUMIF(C7:C26,"=8",L7:L26)</f>
        <v>175</v>
      </c>
      <c r="L37" s="2" t="s">
        <v>28</v>
      </c>
      <c r="M37" s="19">
        <f>J5</f>
        <v>2.67</v>
      </c>
      <c r="N37" s="20">
        <f>SUMIF(C7:C26,"=8",N7:N26)</f>
        <v>467.25</v>
      </c>
    </row>
    <row r="38" spans="5:14" ht="12">
      <c r="E38">
        <f>SUMIF($C$11:$C$26,9,$D$11:$D$26)</f>
        <v>0</v>
      </c>
      <c r="F38" s="12">
        <f>SUMIF(C7:C26,"=9",K7:K26)</f>
        <v>0</v>
      </c>
      <c r="G38" s="2" t="s">
        <v>29</v>
      </c>
      <c r="H38" s="19">
        <f>K5</f>
        <v>3.4</v>
      </c>
      <c r="I38" s="20">
        <f>SUMIF(C7:C26,"=9",M7:M26)</f>
        <v>0</v>
      </c>
      <c r="K38" s="12">
        <f>SUMIF(C7:C26,"=9",L7:L26)</f>
        <v>0</v>
      </c>
      <c r="L38" s="2" t="s">
        <v>29</v>
      </c>
      <c r="M38" s="19">
        <f>K5</f>
        <v>3.4</v>
      </c>
      <c r="N38" s="20">
        <f>SUMIF(C7:C26,"=9",N7:N26)</f>
        <v>0</v>
      </c>
    </row>
    <row r="39" spans="5:14" ht="12">
      <c r="E39">
        <f>SUMIF($C$11:$C$26,10,$D$11:$D$26)</f>
        <v>0</v>
      </c>
      <c r="F39" s="12">
        <f>SUMIF(C7:C26,"=10",K7:K26)</f>
        <v>0</v>
      </c>
      <c r="G39" s="2" t="s">
        <v>30</v>
      </c>
      <c r="H39" s="19">
        <f>L5</f>
        <v>4.303</v>
      </c>
      <c r="I39" s="20">
        <f>SUMIF(C7:C26,"=10",M7:M26)</f>
        <v>0</v>
      </c>
      <c r="K39" s="12">
        <f>SUMIF(C7:C26,"=10",L7:L26)</f>
        <v>0</v>
      </c>
      <c r="L39" s="2" t="s">
        <v>30</v>
      </c>
      <c r="M39" s="19">
        <f>L5</f>
        <v>4.303</v>
      </c>
      <c r="N39" s="20">
        <f>SUMIF(C7:C26,"=10",N7:N26)</f>
        <v>0</v>
      </c>
    </row>
    <row r="40" spans="5:14" ht="12">
      <c r="E40">
        <f>SUMIF($C$11:$C$26,11,$D$11:$D$26)</f>
        <v>8</v>
      </c>
      <c r="F40" s="12">
        <f>SUMIF(C7:C26,"=11",K7:K26)</f>
        <v>0</v>
      </c>
      <c r="G40" s="2" t="s">
        <v>31</v>
      </c>
      <c r="H40" s="19">
        <f>M5</f>
        <v>5.313</v>
      </c>
      <c r="I40" s="20">
        <f>SUMIF(C7:C26,"=11",M7:M26)</f>
        <v>0</v>
      </c>
      <c r="K40" s="12">
        <f>SUMIF(C7:C26,"=11",L7:L26)</f>
        <v>731.1666666666666</v>
      </c>
      <c r="L40" s="2" t="s">
        <v>31</v>
      </c>
      <c r="M40" s="19">
        <f>M5</f>
        <v>5.313</v>
      </c>
      <c r="N40" s="20">
        <f>SUMIF(C7:C26,"=11",N7:N26)</f>
        <v>3884.6884999999997</v>
      </c>
    </row>
    <row r="41" spans="8:14" ht="12">
      <c r="H41" s="2" t="s">
        <v>3</v>
      </c>
      <c r="I41" s="21">
        <f>SUM(I33:I40)</f>
        <v>977.6768333333333</v>
      </c>
      <c r="M41" s="2" t="s">
        <v>3</v>
      </c>
      <c r="N41" s="21">
        <f>SUM(N33:N40)</f>
        <v>6833.465166666666</v>
      </c>
    </row>
  </sheetData>
  <sheetProtection/>
  <mergeCells count="4">
    <mergeCell ref="H26:L26"/>
    <mergeCell ref="F27:I27"/>
    <mergeCell ref="K27:N27"/>
    <mergeCell ref="A5:E5"/>
  </mergeCells>
  <printOptions gridLines="1"/>
  <pageMargins left="0.25" right="0.25" top="0.5" bottom="0.5" header="0.25" footer="0.25"/>
  <pageSetup fitToHeight="1" fitToWidth="1" horizontalDpi="600" verticalDpi="600" orientation="landscape" scale="83" r:id="rId2"/>
  <headerFooter alignWithMargins="0">
    <oddHeader>&amp;C&amp;A&amp;R&amp;D</oddHeader>
    <oddFooter>&amp;CPage &amp;P of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P45"/>
  <sheetViews>
    <sheetView zoomScalePageLayoutView="0" workbookViewId="0" topLeftCell="A34">
      <selection activeCell="F62" sqref="F62"/>
    </sheetView>
  </sheetViews>
  <sheetFormatPr defaultColWidth="9.00390625" defaultRowHeight="12.75"/>
  <cols>
    <col min="1" max="1" width="28.875" style="0" customWidth="1"/>
    <col min="2" max="2" width="2.125" style="0" customWidth="1"/>
    <col min="3" max="3" width="4.875" style="0" customWidth="1"/>
    <col min="4" max="4" width="5.75390625" style="0" customWidth="1"/>
    <col min="5" max="5" width="5.50390625" style="0" customWidth="1"/>
    <col min="6" max="6" width="12.75390625" style="0" customWidth="1"/>
    <col min="7" max="10" width="10.75390625" style="0" customWidth="1"/>
    <col min="11" max="12" width="12.75390625" style="0" customWidth="1"/>
    <col min="13" max="14" width="10.75390625" style="0" customWidth="1"/>
    <col min="15" max="16" width="8.875" style="0" hidden="1" customWidth="1"/>
  </cols>
  <sheetData>
    <row r="1" spans="1:6" ht="12" customHeight="1">
      <c r="A1" s="1" t="str">
        <f>'Reinf Superstr.'!A1</f>
        <v>Project No: XXXXXXXX</v>
      </c>
      <c r="B1" s="4"/>
      <c r="C1" s="1"/>
      <c r="D1" s="4"/>
      <c r="E1" s="4"/>
      <c r="F1" s="4"/>
    </row>
    <row r="2" spans="1:6" ht="12" customHeight="1">
      <c r="A2" s="1" t="str">
        <f>'Reinf Superstr.'!A2</f>
        <v>Str. No.: X-XX-XXX</v>
      </c>
      <c r="B2" s="4"/>
      <c r="C2" s="1"/>
      <c r="D2" s="4"/>
      <c r="E2" s="4"/>
      <c r="F2" s="4"/>
    </row>
    <row r="3" spans="1:6" ht="12" customHeight="1">
      <c r="A3" s="1" t="str">
        <f>'Reinf Superstr.'!A3</f>
        <v>By: XXXXXXXXX</v>
      </c>
      <c r="B3" s="4"/>
      <c r="C3" s="1"/>
      <c r="D3" s="4"/>
      <c r="E3" s="4"/>
      <c r="F3" s="4"/>
    </row>
    <row r="4" spans="3:13" s="4" customFormat="1" ht="12" customHeight="1">
      <c r="C4" s="1"/>
      <c r="F4" s="9">
        <v>4</v>
      </c>
      <c r="G4" s="9">
        <v>5</v>
      </c>
      <c r="H4" s="9">
        <v>6</v>
      </c>
      <c r="I4" s="9">
        <v>7</v>
      </c>
      <c r="J4" s="9">
        <v>8</v>
      </c>
      <c r="K4" s="9">
        <v>9</v>
      </c>
      <c r="L4" s="9">
        <v>10</v>
      </c>
      <c r="M4" s="9">
        <v>11</v>
      </c>
    </row>
    <row r="5" spans="1:13" s="4" customFormat="1" ht="15">
      <c r="A5" s="32" t="s">
        <v>45</v>
      </c>
      <c r="B5" s="32"/>
      <c r="C5" s="32"/>
      <c r="D5" s="32"/>
      <c r="E5" s="32"/>
      <c r="F5" s="10">
        <v>0.668</v>
      </c>
      <c r="G5" s="10">
        <v>1.043</v>
      </c>
      <c r="H5" s="10">
        <v>1.502</v>
      </c>
      <c r="I5" s="10">
        <v>2.044</v>
      </c>
      <c r="J5" s="10">
        <v>2.67</v>
      </c>
      <c r="K5" s="11">
        <v>3.4</v>
      </c>
      <c r="L5" s="11">
        <v>4.303</v>
      </c>
      <c r="M5" s="11">
        <v>5.313</v>
      </c>
    </row>
    <row r="6" spans="3:13" s="4" customFormat="1" ht="12" customHeight="1">
      <c r="C6" s="1"/>
      <c r="F6" s="10"/>
      <c r="G6" s="10"/>
      <c r="H6" s="10"/>
      <c r="I6" s="10"/>
      <c r="J6" s="10"/>
      <c r="K6" s="11"/>
      <c r="L6" s="11"/>
      <c r="M6" s="11"/>
    </row>
    <row r="7" spans="3:14" s="4" customFormat="1" ht="12" customHeight="1">
      <c r="C7" s="6"/>
      <c r="D7" s="6"/>
      <c r="E7" s="7" t="s">
        <v>0</v>
      </c>
      <c r="K7" s="12" t="s">
        <v>4</v>
      </c>
      <c r="L7" s="13" t="s">
        <v>5</v>
      </c>
      <c r="M7" s="13" t="s">
        <v>4</v>
      </c>
      <c r="N7" s="13" t="s">
        <v>5</v>
      </c>
    </row>
    <row r="8" spans="3:16" s="4" customFormat="1" ht="12" customHeight="1">
      <c r="C8" s="7" t="s">
        <v>9</v>
      </c>
      <c r="D8" s="7" t="s">
        <v>0</v>
      </c>
      <c r="E8" s="7" t="s">
        <v>8</v>
      </c>
      <c r="F8" s="8"/>
      <c r="G8" s="7"/>
      <c r="H8" s="6" t="s">
        <v>7</v>
      </c>
      <c r="I8" s="6"/>
      <c r="J8" s="6"/>
      <c r="K8" s="12" t="s">
        <v>1</v>
      </c>
      <c r="L8" s="13" t="s">
        <v>1</v>
      </c>
      <c r="M8" s="13" t="s">
        <v>1</v>
      </c>
      <c r="N8" s="13" t="s">
        <v>1</v>
      </c>
      <c r="P8" s="6"/>
    </row>
    <row r="9" spans="1:16" s="4" customFormat="1" ht="12" customHeight="1">
      <c r="A9" s="5" t="s">
        <v>18</v>
      </c>
      <c r="C9" s="7" t="s">
        <v>15</v>
      </c>
      <c r="D9" s="7" t="s">
        <v>8</v>
      </c>
      <c r="E9" s="5" t="s">
        <v>14</v>
      </c>
      <c r="F9" s="8" t="s">
        <v>2</v>
      </c>
      <c r="G9" s="7" t="s">
        <v>6</v>
      </c>
      <c r="H9" s="5" t="s">
        <v>11</v>
      </c>
      <c r="I9" s="5" t="s">
        <v>12</v>
      </c>
      <c r="J9" s="5" t="s">
        <v>13</v>
      </c>
      <c r="K9" s="12" t="s">
        <v>2</v>
      </c>
      <c r="L9" s="13" t="s">
        <v>2</v>
      </c>
      <c r="M9" s="13" t="s">
        <v>10</v>
      </c>
      <c r="N9" s="13" t="s">
        <v>10</v>
      </c>
      <c r="O9" s="5" t="s">
        <v>10</v>
      </c>
      <c r="P9" s="5" t="s">
        <v>2</v>
      </c>
    </row>
    <row r="10" spans="1:16" s="4" customFormat="1" ht="12" customHeight="1">
      <c r="A10" s="4" t="s">
        <v>42</v>
      </c>
      <c r="C10" s="5">
        <v>11</v>
      </c>
      <c r="D10" s="5">
        <v>6</v>
      </c>
      <c r="F10" s="8" t="s">
        <v>111</v>
      </c>
      <c r="G10" s="5" t="s">
        <v>17</v>
      </c>
      <c r="H10" s="7"/>
      <c r="I10" s="7"/>
      <c r="J10" s="8"/>
      <c r="K10" s="16">
        <f>IF($B10="E",$D10*$P10,0)</f>
        <v>0</v>
      </c>
      <c r="L10" s="17">
        <f>IF($B10="E",0,$D10*$P10)</f>
        <v>319.5</v>
      </c>
      <c r="M10" s="22">
        <f>$K10*$O10</f>
        <v>0</v>
      </c>
      <c r="N10" s="22">
        <f>$L10*$O10</f>
        <v>1697.5034999999998</v>
      </c>
      <c r="O10" s="14">
        <f>LOOKUP(C10,$F$4:$M$4,$F$5:$M$5)</f>
        <v>5.313</v>
      </c>
      <c r="P10" s="15">
        <f>(LEFT(F10,(FIND("'",F10)-1)))+((MID(F10,FIND("-",F10)+1,((FIND("""",F10)-(FIND("-",F10))-1))))/12)</f>
        <v>53.25</v>
      </c>
    </row>
    <row r="11" spans="1:16" s="4" customFormat="1" ht="12" customHeight="1">
      <c r="A11" s="4" t="s">
        <v>42</v>
      </c>
      <c r="C11" s="5">
        <v>11</v>
      </c>
      <c r="D11" s="5">
        <v>4</v>
      </c>
      <c r="F11" s="8" t="s">
        <v>110</v>
      </c>
      <c r="G11" s="5" t="s">
        <v>17</v>
      </c>
      <c r="H11" s="7"/>
      <c r="I11" s="7"/>
      <c r="J11" s="8"/>
      <c r="K11" s="16">
        <f aca="true" t="shared" si="0" ref="K11:K22">IF($B11="E",$D11*$P11,0)</f>
        <v>0</v>
      </c>
      <c r="L11" s="17">
        <f aca="true" t="shared" si="1" ref="L11:L22">IF($B11="E",0,$D11*$P11)</f>
        <v>210</v>
      </c>
      <c r="M11" s="22">
        <f aca="true" t="shared" si="2" ref="M11:M22">$K11*$O11</f>
        <v>0</v>
      </c>
      <c r="N11" s="22">
        <f aca="true" t="shared" si="3" ref="N11:N22">$L11*$O11</f>
        <v>1115.73</v>
      </c>
      <c r="O11" s="14">
        <f aca="true" t="shared" si="4" ref="O11:O22">LOOKUP(C11,$F$4:$M$4,$F$5:$M$5)</f>
        <v>5.313</v>
      </c>
      <c r="P11" s="15">
        <f aca="true" t="shared" si="5" ref="P11:P22">(LEFT(F11,(FIND("'",F11)-1)))+((MID(F11,FIND("-",F11)+1,((FIND("""",F11)-(FIND("-",F11))-1))))/12)</f>
        <v>52.5</v>
      </c>
    </row>
    <row r="12" spans="1:16" s="4" customFormat="1" ht="12" customHeight="1">
      <c r="A12" s="4" t="s">
        <v>42</v>
      </c>
      <c r="C12" s="5">
        <v>11</v>
      </c>
      <c r="D12" s="5">
        <v>4</v>
      </c>
      <c r="F12" s="8" t="s">
        <v>112</v>
      </c>
      <c r="G12" s="5" t="s">
        <v>17</v>
      </c>
      <c r="H12" s="7"/>
      <c r="I12" s="7"/>
      <c r="J12" s="8"/>
      <c r="K12" s="16">
        <f t="shared" si="0"/>
        <v>0</v>
      </c>
      <c r="L12" s="17">
        <f t="shared" si="1"/>
        <v>201.66666666666666</v>
      </c>
      <c r="M12" s="22">
        <f t="shared" si="2"/>
        <v>0</v>
      </c>
      <c r="N12" s="22">
        <f t="shared" si="3"/>
        <v>1071.455</v>
      </c>
      <c r="O12" s="14">
        <f t="shared" si="4"/>
        <v>5.313</v>
      </c>
      <c r="P12" s="15">
        <f t="shared" si="5"/>
        <v>50.416666666666664</v>
      </c>
    </row>
    <row r="13" spans="1:16" s="4" customFormat="1" ht="12" customHeight="1">
      <c r="A13" s="4" t="s">
        <v>42</v>
      </c>
      <c r="C13" s="5">
        <v>5</v>
      </c>
      <c r="D13" s="5">
        <v>4</v>
      </c>
      <c r="F13" s="8" t="s">
        <v>113</v>
      </c>
      <c r="G13" s="5"/>
      <c r="H13" s="7"/>
      <c r="I13" s="7"/>
      <c r="J13" s="8"/>
      <c r="K13" s="16">
        <f t="shared" si="0"/>
        <v>0</v>
      </c>
      <c r="L13" s="17">
        <f t="shared" si="1"/>
        <v>33</v>
      </c>
      <c r="M13" s="22">
        <f t="shared" si="2"/>
        <v>0</v>
      </c>
      <c r="N13" s="22">
        <f t="shared" si="3"/>
        <v>34.419</v>
      </c>
      <c r="O13" s="14">
        <f t="shared" si="4"/>
        <v>1.043</v>
      </c>
      <c r="P13" s="15">
        <f t="shared" si="5"/>
        <v>8.25</v>
      </c>
    </row>
    <row r="14" spans="1:16" s="4" customFormat="1" ht="12" customHeight="1">
      <c r="A14" s="4" t="s">
        <v>42</v>
      </c>
      <c r="C14" s="5">
        <v>5</v>
      </c>
      <c r="D14" s="5">
        <v>6</v>
      </c>
      <c r="F14" s="8" t="s">
        <v>92</v>
      </c>
      <c r="G14" s="5" t="s">
        <v>17</v>
      </c>
      <c r="H14" s="7"/>
      <c r="I14" s="7"/>
      <c r="J14" s="8"/>
      <c r="K14" s="16">
        <f t="shared" si="0"/>
        <v>0</v>
      </c>
      <c r="L14" s="17">
        <f t="shared" si="1"/>
        <v>240</v>
      </c>
      <c r="M14" s="22">
        <f t="shared" si="2"/>
        <v>0</v>
      </c>
      <c r="N14" s="22">
        <f t="shared" si="3"/>
        <v>250.32</v>
      </c>
      <c r="O14" s="14">
        <f t="shared" si="4"/>
        <v>1.043</v>
      </c>
      <c r="P14" s="15">
        <f t="shared" si="5"/>
        <v>40</v>
      </c>
    </row>
    <row r="15" spans="1:16" s="4" customFormat="1" ht="12" customHeight="1">
      <c r="A15" s="4" t="s">
        <v>42</v>
      </c>
      <c r="C15" s="5">
        <v>5</v>
      </c>
      <c r="D15" s="5">
        <v>6</v>
      </c>
      <c r="F15" s="8" t="s">
        <v>66</v>
      </c>
      <c r="G15" s="5" t="s">
        <v>17</v>
      </c>
      <c r="H15" s="7"/>
      <c r="I15" s="7"/>
      <c r="J15" s="8"/>
      <c r="K15" s="16">
        <f t="shared" si="0"/>
        <v>0</v>
      </c>
      <c r="L15" s="17">
        <f t="shared" si="1"/>
        <v>70.5</v>
      </c>
      <c r="M15" s="22">
        <f t="shared" si="2"/>
        <v>0</v>
      </c>
      <c r="N15" s="22">
        <f t="shared" si="3"/>
        <v>73.5315</v>
      </c>
      <c r="O15" s="14">
        <f t="shared" si="4"/>
        <v>1.043</v>
      </c>
      <c r="P15" s="15">
        <f t="shared" si="5"/>
        <v>11.75</v>
      </c>
    </row>
    <row r="16" spans="1:16" s="4" customFormat="1" ht="12" customHeight="1">
      <c r="A16" s="4" t="s">
        <v>42</v>
      </c>
      <c r="C16" s="5">
        <v>5</v>
      </c>
      <c r="D16" s="5">
        <v>6</v>
      </c>
      <c r="F16" s="8" t="s">
        <v>113</v>
      </c>
      <c r="G16" s="5"/>
      <c r="H16" s="7"/>
      <c r="I16" s="7"/>
      <c r="J16" s="8"/>
      <c r="K16" s="16">
        <f t="shared" si="0"/>
        <v>0</v>
      </c>
      <c r="L16" s="17">
        <f t="shared" si="1"/>
        <v>49.5</v>
      </c>
      <c r="M16" s="22">
        <f t="shared" si="2"/>
        <v>0</v>
      </c>
      <c r="N16" s="22">
        <f t="shared" si="3"/>
        <v>51.628499999999995</v>
      </c>
      <c r="O16" s="14">
        <f t="shared" si="4"/>
        <v>1.043</v>
      </c>
      <c r="P16" s="15">
        <f t="shared" si="5"/>
        <v>8.25</v>
      </c>
    </row>
    <row r="17" spans="1:16" s="4" customFormat="1" ht="12" customHeight="1">
      <c r="A17" s="4" t="s">
        <v>99</v>
      </c>
      <c r="B17" s="4" t="s">
        <v>16</v>
      </c>
      <c r="C17" s="5">
        <v>6</v>
      </c>
      <c r="D17" s="5">
        <v>107</v>
      </c>
      <c r="F17" s="8" t="s">
        <v>127</v>
      </c>
      <c r="G17" s="5" t="s">
        <v>100</v>
      </c>
      <c r="H17" s="7"/>
      <c r="I17" s="7"/>
      <c r="J17" s="8"/>
      <c r="K17" s="16">
        <f t="shared" si="0"/>
        <v>650.9166666666666</v>
      </c>
      <c r="L17" s="17">
        <f t="shared" si="1"/>
        <v>0</v>
      </c>
      <c r="M17" s="22">
        <f t="shared" si="2"/>
        <v>977.6768333333333</v>
      </c>
      <c r="N17" s="22">
        <f t="shared" si="3"/>
        <v>0</v>
      </c>
      <c r="O17" s="14">
        <f t="shared" si="4"/>
        <v>1.502</v>
      </c>
      <c r="P17" s="15">
        <f t="shared" si="5"/>
        <v>6.083333333333333</v>
      </c>
    </row>
    <row r="18" spans="1:16" s="4" customFormat="1" ht="12" customHeight="1">
      <c r="A18" s="4" t="s">
        <v>44</v>
      </c>
      <c r="C18" s="5">
        <v>5</v>
      </c>
      <c r="D18" s="5">
        <v>2</v>
      </c>
      <c r="F18" s="8" t="s">
        <v>88</v>
      </c>
      <c r="G18" s="5" t="s">
        <v>100</v>
      </c>
      <c r="H18" s="7"/>
      <c r="I18" s="7"/>
      <c r="J18" s="8"/>
      <c r="K18" s="16">
        <f t="shared" si="0"/>
        <v>0</v>
      </c>
      <c r="L18" s="17">
        <f t="shared" si="1"/>
        <v>35.666666666666664</v>
      </c>
      <c r="M18" s="22">
        <f t="shared" si="2"/>
        <v>0</v>
      </c>
      <c r="N18" s="22">
        <f t="shared" si="3"/>
        <v>37.200333333333326</v>
      </c>
      <c r="O18" s="14">
        <f t="shared" si="4"/>
        <v>1.043</v>
      </c>
      <c r="P18" s="15">
        <f t="shared" si="5"/>
        <v>17.833333333333332</v>
      </c>
    </row>
    <row r="19" spans="1:16" s="4" customFormat="1" ht="12" customHeight="1">
      <c r="A19" s="4" t="s">
        <v>44</v>
      </c>
      <c r="C19" s="5">
        <v>5</v>
      </c>
      <c r="D19" s="5">
        <v>2</v>
      </c>
      <c r="F19" s="8" t="s">
        <v>69</v>
      </c>
      <c r="G19" s="5" t="s">
        <v>100</v>
      </c>
      <c r="H19" s="7"/>
      <c r="I19" s="7"/>
      <c r="J19" s="8"/>
      <c r="K19" s="16">
        <f t="shared" si="0"/>
        <v>0</v>
      </c>
      <c r="L19" s="17">
        <f t="shared" si="1"/>
        <v>33.666666666666664</v>
      </c>
      <c r="M19" s="22">
        <f t="shared" si="2"/>
        <v>0</v>
      </c>
      <c r="N19" s="22">
        <f t="shared" si="3"/>
        <v>35.11433333333333</v>
      </c>
      <c r="O19" s="14">
        <f t="shared" si="4"/>
        <v>1.043</v>
      </c>
      <c r="P19" s="15">
        <f t="shared" si="5"/>
        <v>16.833333333333332</v>
      </c>
    </row>
    <row r="20" spans="1:16" s="4" customFormat="1" ht="12" customHeight="1">
      <c r="A20" s="4" t="s">
        <v>44</v>
      </c>
      <c r="C20" s="5">
        <v>5</v>
      </c>
      <c r="D20" s="5">
        <v>101</v>
      </c>
      <c r="F20" s="8" t="s">
        <v>114</v>
      </c>
      <c r="G20" s="5" t="s">
        <v>100</v>
      </c>
      <c r="H20" s="7"/>
      <c r="I20" s="7"/>
      <c r="J20" s="8"/>
      <c r="K20" s="16">
        <f t="shared" si="0"/>
        <v>0</v>
      </c>
      <c r="L20" s="17">
        <f t="shared" si="1"/>
        <v>1851.6666666666665</v>
      </c>
      <c r="M20" s="22">
        <f t="shared" si="2"/>
        <v>0</v>
      </c>
      <c r="N20" s="22">
        <f t="shared" si="3"/>
        <v>1931.288333333333</v>
      </c>
      <c r="O20" s="14">
        <f t="shared" si="4"/>
        <v>1.043</v>
      </c>
      <c r="P20" s="15">
        <f t="shared" si="5"/>
        <v>18.333333333333332</v>
      </c>
    </row>
    <row r="21" spans="1:16" s="4" customFormat="1" ht="12" customHeight="1">
      <c r="A21" s="4" t="s">
        <v>41</v>
      </c>
      <c r="C21" s="5">
        <v>8</v>
      </c>
      <c r="D21" s="5">
        <v>15</v>
      </c>
      <c r="F21" s="8" t="s">
        <v>116</v>
      </c>
      <c r="G21" s="5" t="s">
        <v>17</v>
      </c>
      <c r="H21" s="7"/>
      <c r="I21" s="7"/>
      <c r="J21" s="8"/>
      <c r="K21" s="16">
        <f t="shared" si="0"/>
        <v>0</v>
      </c>
      <c r="L21" s="17">
        <f t="shared" si="1"/>
        <v>167.5</v>
      </c>
      <c r="M21" s="22">
        <f t="shared" si="2"/>
        <v>0</v>
      </c>
      <c r="N21" s="22">
        <f t="shared" si="3"/>
        <v>447.22499999999997</v>
      </c>
      <c r="O21" s="14">
        <f t="shared" si="4"/>
        <v>2.67</v>
      </c>
      <c r="P21" s="15">
        <f t="shared" si="5"/>
        <v>11.166666666666666</v>
      </c>
    </row>
    <row r="22" spans="1:16" s="4" customFormat="1" ht="12" customHeight="1">
      <c r="A22" s="4" t="s">
        <v>115</v>
      </c>
      <c r="C22" s="5">
        <v>4</v>
      </c>
      <c r="D22" s="5">
        <v>13</v>
      </c>
      <c r="F22" s="8" t="s">
        <v>61</v>
      </c>
      <c r="G22" s="5"/>
      <c r="H22" s="7"/>
      <c r="I22" s="7"/>
      <c r="J22" s="8"/>
      <c r="K22" s="16">
        <f t="shared" si="0"/>
        <v>0</v>
      </c>
      <c r="L22" s="17">
        <f t="shared" si="1"/>
        <v>101.83333333333333</v>
      </c>
      <c r="M22" s="22">
        <f t="shared" si="2"/>
        <v>0</v>
      </c>
      <c r="N22" s="22">
        <f t="shared" si="3"/>
        <v>68.02466666666666</v>
      </c>
      <c r="O22" s="14">
        <f t="shared" si="4"/>
        <v>0.668</v>
      </c>
      <c r="P22" s="15">
        <f t="shared" si="5"/>
        <v>7.833333333333333</v>
      </c>
    </row>
    <row r="23" spans="1:16" s="4" customFormat="1" ht="12" customHeight="1">
      <c r="A23" s="5"/>
      <c r="C23" s="7"/>
      <c r="D23" s="7"/>
      <c r="E23" s="5"/>
      <c r="F23" s="8"/>
      <c r="G23" s="7"/>
      <c r="H23" s="5"/>
      <c r="I23" s="5"/>
      <c r="J23" s="5"/>
      <c r="K23" s="12"/>
      <c r="L23" s="13"/>
      <c r="M23" s="13"/>
      <c r="N23" s="13"/>
      <c r="O23" s="5"/>
      <c r="P23" s="5"/>
    </row>
    <row r="24" spans="1:16" s="4" customFormat="1" ht="12" customHeight="1">
      <c r="A24" s="5"/>
      <c r="C24" s="7"/>
      <c r="D24" s="7"/>
      <c r="E24" s="5"/>
      <c r="F24" s="8"/>
      <c r="G24" s="7"/>
      <c r="H24" s="5"/>
      <c r="I24" s="5"/>
      <c r="J24" s="5"/>
      <c r="K24" s="12"/>
      <c r="L24" s="13"/>
      <c r="M24" s="13"/>
      <c r="N24" s="13"/>
      <c r="O24" s="5"/>
      <c r="P24" s="5"/>
    </row>
    <row r="25" spans="1:16" s="4" customFormat="1" ht="12" customHeight="1">
      <c r="A25" s="5"/>
      <c r="C25" s="7"/>
      <c r="D25" s="7"/>
      <c r="E25" s="5"/>
      <c r="F25" s="8"/>
      <c r="G25" s="7"/>
      <c r="H25" s="5"/>
      <c r="I25" s="5"/>
      <c r="J25" s="5"/>
      <c r="K25" s="12"/>
      <c r="L25" s="13"/>
      <c r="M25" s="13"/>
      <c r="N25" s="13"/>
      <c r="O25" s="5"/>
      <c r="P25" s="5"/>
    </row>
    <row r="26" spans="1:16" s="4" customFormat="1" ht="12" customHeight="1">
      <c r="A26" s="5"/>
      <c r="C26" s="7"/>
      <c r="D26" s="7"/>
      <c r="E26" s="5"/>
      <c r="F26" s="8"/>
      <c r="G26" s="7"/>
      <c r="H26" s="5"/>
      <c r="I26" s="5"/>
      <c r="J26" s="5"/>
      <c r="K26" s="12"/>
      <c r="L26" s="13"/>
      <c r="M26" s="13"/>
      <c r="N26" s="13"/>
      <c r="O26" s="5"/>
      <c r="P26" s="5"/>
    </row>
    <row r="27" spans="1:16" s="4" customFormat="1" ht="12" customHeight="1">
      <c r="A27" s="5"/>
      <c r="C27" s="7"/>
      <c r="D27" s="7"/>
      <c r="E27" s="5"/>
      <c r="F27" s="8"/>
      <c r="G27" s="7"/>
      <c r="H27" s="5"/>
      <c r="I27" s="5"/>
      <c r="J27" s="5"/>
      <c r="K27" s="12"/>
      <c r="L27" s="13"/>
      <c r="M27" s="13"/>
      <c r="N27" s="13"/>
      <c r="O27" s="5"/>
      <c r="P27" s="5"/>
    </row>
    <row r="28" spans="1:16" s="4" customFormat="1" ht="12" customHeight="1">
      <c r="A28" s="5"/>
      <c r="C28" s="7"/>
      <c r="D28" s="7"/>
      <c r="E28" s="5"/>
      <c r="F28" s="8"/>
      <c r="G28" s="7"/>
      <c r="H28" s="5"/>
      <c r="I28" s="5"/>
      <c r="J28" s="5"/>
      <c r="K28" s="12"/>
      <c r="L28" s="13"/>
      <c r="M28" s="13"/>
      <c r="N28" s="13"/>
      <c r="O28" s="5"/>
      <c r="P28" s="5"/>
    </row>
    <row r="29" spans="1:16" s="4" customFormat="1" ht="12" customHeight="1">
      <c r="A29" s="5"/>
      <c r="C29" s="7"/>
      <c r="D29" s="7"/>
      <c r="E29" s="5"/>
      <c r="F29" s="8"/>
      <c r="G29" s="7"/>
      <c r="H29" s="5"/>
      <c r="I29" s="5"/>
      <c r="J29" s="5"/>
      <c r="K29" s="12"/>
      <c r="L29" s="13"/>
      <c r="M29" s="13"/>
      <c r="N29" s="13"/>
      <c r="O29" s="5"/>
      <c r="P29" s="5"/>
    </row>
    <row r="30" spans="8:12" ht="15">
      <c r="H30" s="33" t="s">
        <v>46</v>
      </c>
      <c r="I30" s="33"/>
      <c r="J30" s="33"/>
      <c r="K30" s="33"/>
      <c r="L30" s="33"/>
    </row>
    <row r="31" spans="5:14" ht="15">
      <c r="E31" s="18"/>
      <c r="F31" s="33" t="s">
        <v>32</v>
      </c>
      <c r="G31" s="33"/>
      <c r="H31" s="33"/>
      <c r="I31" s="33"/>
      <c r="J31" s="18"/>
      <c r="K31" s="33" t="s">
        <v>33</v>
      </c>
      <c r="L31" s="33"/>
      <c r="M31" s="33"/>
      <c r="N31" s="33"/>
    </row>
    <row r="32" spans="5:14" ht="14.25">
      <c r="E32" s="18"/>
      <c r="F32" s="18"/>
      <c r="G32" s="18"/>
      <c r="H32" s="18"/>
      <c r="I32" s="18"/>
      <c r="J32" s="18"/>
      <c r="K32" s="18"/>
      <c r="L32" s="18"/>
      <c r="M32" s="18"/>
      <c r="N32" s="18"/>
    </row>
    <row r="33" spans="6:14" ht="12">
      <c r="F33" s="2" t="s">
        <v>34</v>
      </c>
      <c r="G33" s="2"/>
      <c r="H33" s="2" t="s">
        <v>23</v>
      </c>
      <c r="I33" s="2"/>
      <c r="K33" s="2" t="s">
        <v>34</v>
      </c>
      <c r="L33" s="2"/>
      <c r="M33" s="2" t="s">
        <v>23</v>
      </c>
      <c r="N33" s="2"/>
    </row>
    <row r="34" spans="6:14" ht="12">
      <c r="F34" s="2" t="s">
        <v>35</v>
      </c>
      <c r="G34" s="2" t="s">
        <v>9</v>
      </c>
      <c r="H34" s="2" t="s">
        <v>21</v>
      </c>
      <c r="I34" s="2"/>
      <c r="K34" s="2" t="s">
        <v>35</v>
      </c>
      <c r="L34" s="2" t="s">
        <v>9</v>
      </c>
      <c r="M34" s="2" t="s">
        <v>21</v>
      </c>
      <c r="N34" s="2"/>
    </row>
    <row r="35" spans="6:14" ht="12">
      <c r="F35" s="2" t="s">
        <v>22</v>
      </c>
      <c r="G35" s="2" t="s">
        <v>15</v>
      </c>
      <c r="H35" s="2" t="s">
        <v>22</v>
      </c>
      <c r="I35" s="2" t="s">
        <v>10</v>
      </c>
      <c r="K35" s="2" t="s">
        <v>22</v>
      </c>
      <c r="L35" s="2" t="s">
        <v>15</v>
      </c>
      <c r="M35" s="2" t="s">
        <v>22</v>
      </c>
      <c r="N35" s="2" t="s">
        <v>10</v>
      </c>
    </row>
    <row r="36" spans="6:14" ht="12">
      <c r="F36" s="2"/>
      <c r="G36" s="2"/>
      <c r="H36" s="2"/>
      <c r="I36" s="2"/>
      <c r="K36" s="2"/>
      <c r="L36" s="2"/>
      <c r="M36" s="2"/>
      <c r="N36" s="2"/>
    </row>
    <row r="37" spans="5:14" ht="12">
      <c r="E37">
        <f>SUMIF($C$11:$C$26,4,$D$11:$D$26)</f>
        <v>13</v>
      </c>
      <c r="F37" s="12">
        <f>SUMIF(C7:C30,"=4",K7:K30)</f>
        <v>0</v>
      </c>
      <c r="G37" s="2" t="s">
        <v>24</v>
      </c>
      <c r="H37" s="19">
        <f>F5</f>
        <v>0.668</v>
      </c>
      <c r="I37" s="20">
        <f>SUMIF(C7:C30,"=4",M7:M30)</f>
        <v>0</v>
      </c>
      <c r="K37" s="12">
        <f>SUMIF(C7:C30,"=4",L7:L30)</f>
        <v>101.83333333333333</v>
      </c>
      <c r="L37" s="2" t="s">
        <v>24</v>
      </c>
      <c r="M37" s="19">
        <f>F5</f>
        <v>0.668</v>
      </c>
      <c r="N37" s="20">
        <f>SUMIF(C7:C30,"=4",N7:N30)</f>
        <v>68.02466666666666</v>
      </c>
    </row>
    <row r="38" spans="5:14" ht="12">
      <c r="E38">
        <f>SUMIF($C$11:$C$26,5,$D$11:$D$26)</f>
        <v>127</v>
      </c>
      <c r="F38" s="12">
        <f>SUMIF(C7:C30,"=5",K7:K30)</f>
        <v>0</v>
      </c>
      <c r="G38" s="2" t="s">
        <v>25</v>
      </c>
      <c r="H38" s="19">
        <f>G5</f>
        <v>1.043</v>
      </c>
      <c r="I38" s="20">
        <f>SUMIF(C7:C30,"=5",M7:M30)</f>
        <v>0</v>
      </c>
      <c r="K38" s="12">
        <f>SUMIF(C7:C30,"=5",L7:L30)</f>
        <v>2314</v>
      </c>
      <c r="L38" s="2" t="s">
        <v>25</v>
      </c>
      <c r="M38" s="19">
        <f>G5</f>
        <v>1.043</v>
      </c>
      <c r="N38" s="20">
        <f>SUMIF(C7:C30,"=5",N7:N30)</f>
        <v>2413.5019999999995</v>
      </c>
    </row>
    <row r="39" spans="5:14" ht="12">
      <c r="E39">
        <f>SUMIF($C$11:$C$26,6,$D$11:$D$26)</f>
        <v>107</v>
      </c>
      <c r="F39" s="12">
        <f>SUMIF(C7:C30,"=6",K7:K30)</f>
        <v>650.9166666666666</v>
      </c>
      <c r="G39" s="2" t="s">
        <v>26</v>
      </c>
      <c r="H39" s="19">
        <f>H5</f>
        <v>1.502</v>
      </c>
      <c r="I39" s="20">
        <f>SUMIF(C7:C30,"=6",M7:M30)</f>
        <v>977.6768333333333</v>
      </c>
      <c r="K39" s="12">
        <f>SUMIF(C7:C30,"=6",L7:L30)</f>
        <v>0</v>
      </c>
      <c r="L39" s="2" t="s">
        <v>26</v>
      </c>
      <c r="M39" s="19">
        <f>H5</f>
        <v>1.502</v>
      </c>
      <c r="N39" s="20">
        <f>SUMIF(C7:C30,"=6",N7:N30)</f>
        <v>0</v>
      </c>
    </row>
    <row r="40" spans="5:14" ht="12">
      <c r="E40">
        <f>SUMIF($C$11:$C$26,7,$D$11:$D$26)</f>
        <v>0</v>
      </c>
      <c r="F40" s="12">
        <f>SUMIF(C7:C30,"=7",K7:K30)</f>
        <v>0</v>
      </c>
      <c r="G40" s="2" t="s">
        <v>27</v>
      </c>
      <c r="H40" s="19">
        <f>I5</f>
        <v>2.044</v>
      </c>
      <c r="I40" s="20">
        <f>SUMIF(C7:C30,"=7",M7:M30)</f>
        <v>0</v>
      </c>
      <c r="K40" s="12">
        <f>SUMIF(C7:C30,"=7",L7:L30)</f>
        <v>0</v>
      </c>
      <c r="L40" s="2" t="s">
        <v>27</v>
      </c>
      <c r="M40" s="19">
        <f>I5</f>
        <v>2.044</v>
      </c>
      <c r="N40" s="20">
        <f>SUMIF(C7:C30,"=7",N7:N30)</f>
        <v>0</v>
      </c>
    </row>
    <row r="41" spans="5:14" ht="12">
      <c r="E41">
        <f>SUMIF($C$11:$C$26,8,$D$11:$D$26)</f>
        <v>15</v>
      </c>
      <c r="F41" s="12">
        <f>SUMIF(C7:C30,"=8",K7:K30)</f>
        <v>0</v>
      </c>
      <c r="G41" s="2" t="s">
        <v>28</v>
      </c>
      <c r="H41" s="19">
        <f>J5</f>
        <v>2.67</v>
      </c>
      <c r="I41" s="20">
        <f>SUMIF(C7:C30,"=8",M7:M30)</f>
        <v>0</v>
      </c>
      <c r="K41" s="12">
        <f>SUMIF(C7:C30,"=8",L7:L30)</f>
        <v>167.5</v>
      </c>
      <c r="L41" s="2" t="s">
        <v>28</v>
      </c>
      <c r="M41" s="19">
        <f>J5</f>
        <v>2.67</v>
      </c>
      <c r="N41" s="20">
        <f>SUMIF(C7:C30,"=8",N7:N30)</f>
        <v>447.22499999999997</v>
      </c>
    </row>
    <row r="42" spans="5:14" ht="12">
      <c r="E42">
        <f>SUMIF($C$11:$C$26,9,$D$11:$D$26)</f>
        <v>0</v>
      </c>
      <c r="F42" s="12">
        <f>SUMIF(C7:C30,"=9",K7:K30)</f>
        <v>0</v>
      </c>
      <c r="G42" s="2" t="s">
        <v>29</v>
      </c>
      <c r="H42" s="19">
        <f>K5</f>
        <v>3.4</v>
      </c>
      <c r="I42" s="20">
        <f>SUMIF(C7:C30,"=9",M7:M30)</f>
        <v>0</v>
      </c>
      <c r="K42" s="12">
        <f>SUMIF(C7:C30,"=9",L7:L30)</f>
        <v>0</v>
      </c>
      <c r="L42" s="2" t="s">
        <v>29</v>
      </c>
      <c r="M42" s="19">
        <f>K5</f>
        <v>3.4</v>
      </c>
      <c r="N42" s="20">
        <f>SUMIF(C7:C30,"=9",N7:N30)</f>
        <v>0</v>
      </c>
    </row>
    <row r="43" spans="5:14" ht="12">
      <c r="E43">
        <f>SUMIF($C$11:$C$26,10,$D$11:$D$26)</f>
        <v>0</v>
      </c>
      <c r="F43" s="12">
        <f>SUMIF(C7:C30,"=10",K7:K30)</f>
        <v>0</v>
      </c>
      <c r="G43" s="2" t="s">
        <v>30</v>
      </c>
      <c r="H43" s="19">
        <f>L5</f>
        <v>4.303</v>
      </c>
      <c r="I43" s="20">
        <f>SUMIF(C7:C30,"=10",M7:M30)</f>
        <v>0</v>
      </c>
      <c r="K43" s="12">
        <f>SUMIF(C7:C30,"=10",L7:L30)</f>
        <v>0</v>
      </c>
      <c r="L43" s="2" t="s">
        <v>30</v>
      </c>
      <c r="M43" s="19">
        <f>L5</f>
        <v>4.303</v>
      </c>
      <c r="N43" s="20">
        <f>SUMIF(C7:C30,"=10",N7:N30)</f>
        <v>0</v>
      </c>
    </row>
    <row r="44" spans="5:14" ht="12">
      <c r="E44">
        <f>SUMIF($C$11:$C$26,11,$D$11:$D$26)</f>
        <v>8</v>
      </c>
      <c r="F44" s="12">
        <f>SUMIF(C7:C30,"=11",K7:K30)</f>
        <v>0</v>
      </c>
      <c r="G44" s="2" t="s">
        <v>31</v>
      </c>
      <c r="H44" s="19">
        <f>M5</f>
        <v>5.313</v>
      </c>
      <c r="I44" s="20">
        <f>SUMIF(C7:C30,"=11",M7:M30)</f>
        <v>0</v>
      </c>
      <c r="K44" s="12">
        <f>SUMIF(C7:C30,"=11",L7:L30)</f>
        <v>731.1666666666666</v>
      </c>
      <c r="L44" s="2" t="s">
        <v>31</v>
      </c>
      <c r="M44" s="19">
        <f>M5</f>
        <v>5.313</v>
      </c>
      <c r="N44" s="20">
        <f>SUMIF(C7:C30,"=11",N7:N30)</f>
        <v>3884.6884999999997</v>
      </c>
    </row>
    <row r="45" spans="8:14" ht="12">
      <c r="H45" s="2" t="s">
        <v>3</v>
      </c>
      <c r="I45" s="21">
        <f>SUM(I37:I44)</f>
        <v>977.6768333333333</v>
      </c>
      <c r="M45" s="2" t="s">
        <v>3</v>
      </c>
      <c r="N45" s="21">
        <f>SUM(N37:N44)</f>
        <v>6813.440166666665</v>
      </c>
    </row>
  </sheetData>
  <sheetProtection/>
  <mergeCells count="4">
    <mergeCell ref="A5:E5"/>
    <mergeCell ref="H30:L30"/>
    <mergeCell ref="F31:I31"/>
    <mergeCell ref="K31:N31"/>
  </mergeCells>
  <printOptions gridLines="1"/>
  <pageMargins left="0.25" right="0.25" top="0.5" bottom="0.5" header="0.25" footer="0.25"/>
  <pageSetup fitToHeight="1" fitToWidth="1" horizontalDpi="600" verticalDpi="600" orientation="landscape" scale="74" r:id="rId2"/>
  <headerFooter alignWithMargins="0">
    <oddHeader>&amp;C&amp;A&amp;R&amp;D</oddHead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P45"/>
  <sheetViews>
    <sheetView zoomScalePageLayoutView="0" workbookViewId="0" topLeftCell="A19">
      <selection activeCell="G60" sqref="G60"/>
    </sheetView>
  </sheetViews>
  <sheetFormatPr defaultColWidth="9.00390625" defaultRowHeight="12.75"/>
  <cols>
    <col min="1" max="1" width="29.50390625" style="0" customWidth="1"/>
    <col min="2" max="2" width="2.125" style="0" customWidth="1"/>
    <col min="3" max="3" width="4.875" style="0" customWidth="1"/>
    <col min="4" max="4" width="5.75390625" style="0" customWidth="1"/>
    <col min="5" max="5" width="5.50390625" style="0" customWidth="1"/>
    <col min="6" max="6" width="12.75390625" style="0" customWidth="1"/>
    <col min="7" max="10" width="10.75390625" style="0" customWidth="1"/>
    <col min="11" max="12" width="12.75390625" style="0" customWidth="1"/>
    <col min="13" max="14" width="10.75390625" style="0" customWidth="1"/>
    <col min="15" max="16" width="8.875" style="0" hidden="1" customWidth="1"/>
  </cols>
  <sheetData>
    <row r="1" spans="1:6" ht="12" customHeight="1">
      <c r="A1" s="1" t="str">
        <f>'Reinf Superstr.'!A1</f>
        <v>Project No: XXXXXXXX</v>
      </c>
      <c r="B1" s="4"/>
      <c r="C1" s="1"/>
      <c r="D1" s="4"/>
      <c r="E1" s="4"/>
      <c r="F1" s="4"/>
    </row>
    <row r="2" spans="1:6" ht="12" customHeight="1">
      <c r="A2" s="1" t="str">
        <f>'Reinf Superstr.'!A2</f>
        <v>Str. No.: X-XX-XXX</v>
      </c>
      <c r="B2" s="4"/>
      <c r="C2" s="1"/>
      <c r="D2" s="4"/>
      <c r="E2" s="4"/>
      <c r="F2" s="4"/>
    </row>
    <row r="3" spans="1:6" ht="12" customHeight="1">
      <c r="A3" s="1" t="str">
        <f>'Reinf Superstr.'!A3</f>
        <v>By: XXXXXXXXX</v>
      </c>
      <c r="B3" s="4"/>
      <c r="C3" s="1"/>
      <c r="D3" s="4"/>
      <c r="E3" s="4"/>
      <c r="F3" s="4"/>
    </row>
    <row r="4" spans="3:13" s="4" customFormat="1" ht="12" customHeight="1">
      <c r="C4" s="1"/>
      <c r="F4" s="9">
        <v>4</v>
      </c>
      <c r="G4" s="9">
        <v>5</v>
      </c>
      <c r="H4" s="9">
        <v>6</v>
      </c>
      <c r="I4" s="9">
        <v>7</v>
      </c>
      <c r="J4" s="9">
        <v>8</v>
      </c>
      <c r="K4" s="9">
        <v>9</v>
      </c>
      <c r="L4" s="9">
        <v>10</v>
      </c>
      <c r="M4" s="9">
        <v>11</v>
      </c>
    </row>
    <row r="5" spans="1:13" s="4" customFormat="1" ht="15">
      <c r="A5" s="32" t="s">
        <v>45</v>
      </c>
      <c r="B5" s="32"/>
      <c r="C5" s="32"/>
      <c r="D5" s="32"/>
      <c r="E5" s="32"/>
      <c r="F5" s="10">
        <v>0.668</v>
      </c>
      <c r="G5" s="10">
        <v>1.043</v>
      </c>
      <c r="H5" s="10">
        <v>1.502</v>
      </c>
      <c r="I5" s="10">
        <v>2.044</v>
      </c>
      <c r="J5" s="10">
        <v>2.67</v>
      </c>
      <c r="K5" s="11">
        <v>3.4</v>
      </c>
      <c r="L5" s="11">
        <v>4.303</v>
      </c>
      <c r="M5" s="11">
        <v>5.313</v>
      </c>
    </row>
    <row r="6" spans="3:13" s="4" customFormat="1" ht="12" customHeight="1">
      <c r="C6" s="1"/>
      <c r="F6" s="10"/>
      <c r="G6" s="10"/>
      <c r="H6" s="10"/>
      <c r="I6" s="10"/>
      <c r="J6" s="10"/>
      <c r="K6" s="11"/>
      <c r="L6" s="11"/>
      <c r="M6" s="11"/>
    </row>
    <row r="7" spans="3:14" s="4" customFormat="1" ht="12" customHeight="1">
      <c r="C7" s="6"/>
      <c r="D7" s="6"/>
      <c r="E7" s="7" t="s">
        <v>0</v>
      </c>
      <c r="K7" s="12" t="s">
        <v>4</v>
      </c>
      <c r="L7" s="13" t="s">
        <v>5</v>
      </c>
      <c r="M7" s="13" t="s">
        <v>4</v>
      </c>
      <c r="N7" s="13" t="s">
        <v>5</v>
      </c>
    </row>
    <row r="8" spans="3:16" s="4" customFormat="1" ht="12" customHeight="1">
      <c r="C8" s="7" t="s">
        <v>9</v>
      </c>
      <c r="D8" s="7" t="s">
        <v>0</v>
      </c>
      <c r="E8" s="7" t="s">
        <v>8</v>
      </c>
      <c r="F8" s="8"/>
      <c r="G8" s="7"/>
      <c r="H8" s="6" t="s">
        <v>7</v>
      </c>
      <c r="I8" s="6"/>
      <c r="J8" s="6"/>
      <c r="K8" s="12" t="s">
        <v>1</v>
      </c>
      <c r="L8" s="13" t="s">
        <v>1</v>
      </c>
      <c r="M8" s="13" t="s">
        <v>1</v>
      </c>
      <c r="N8" s="13" t="s">
        <v>1</v>
      </c>
      <c r="P8" s="6"/>
    </row>
    <row r="9" spans="1:16" s="4" customFormat="1" ht="12" customHeight="1">
      <c r="A9" s="5" t="s">
        <v>18</v>
      </c>
      <c r="C9" s="7" t="s">
        <v>15</v>
      </c>
      <c r="D9" s="7" t="s">
        <v>8</v>
      </c>
      <c r="E9" s="5" t="s">
        <v>14</v>
      </c>
      <c r="F9" s="8" t="s">
        <v>2</v>
      </c>
      <c r="G9" s="7" t="s">
        <v>6</v>
      </c>
      <c r="H9" s="5" t="s">
        <v>11</v>
      </c>
      <c r="I9" s="5" t="s">
        <v>12</v>
      </c>
      <c r="J9" s="5" t="s">
        <v>13</v>
      </c>
      <c r="K9" s="12" t="s">
        <v>2</v>
      </c>
      <c r="L9" s="13" t="s">
        <v>2</v>
      </c>
      <c r="M9" s="13" t="s">
        <v>10</v>
      </c>
      <c r="N9" s="13" t="s">
        <v>10</v>
      </c>
      <c r="O9" s="5" t="s">
        <v>10</v>
      </c>
      <c r="P9" s="5" t="s">
        <v>2</v>
      </c>
    </row>
    <row r="10" spans="1:16" s="4" customFormat="1" ht="12" customHeight="1">
      <c r="A10" s="4" t="s">
        <v>42</v>
      </c>
      <c r="C10" s="5">
        <v>11</v>
      </c>
      <c r="D10" s="5">
        <v>6</v>
      </c>
      <c r="F10" s="8" t="s">
        <v>111</v>
      </c>
      <c r="G10" s="5" t="s">
        <v>17</v>
      </c>
      <c r="H10" s="7"/>
      <c r="I10" s="7"/>
      <c r="J10" s="8"/>
      <c r="K10" s="16">
        <f aca="true" t="shared" si="0" ref="K10:K22">IF($B10="E",$D10*$P10,0)</f>
        <v>0</v>
      </c>
      <c r="L10" s="17">
        <f aca="true" t="shared" si="1" ref="L10:L22">IF($B10="E",0,$D10*$P10)</f>
        <v>319.5</v>
      </c>
      <c r="M10" s="22">
        <f aca="true" t="shared" si="2" ref="M10:M22">$K10*$O10</f>
        <v>0</v>
      </c>
      <c r="N10" s="22">
        <f aca="true" t="shared" si="3" ref="N10:N22">$L10*$O10</f>
        <v>1697.5034999999998</v>
      </c>
      <c r="O10" s="14">
        <f aca="true" t="shared" si="4" ref="O10:O22">LOOKUP(C10,$F$4:$M$4,$F$5:$M$5)</f>
        <v>5.313</v>
      </c>
      <c r="P10" s="15">
        <f aca="true" t="shared" si="5" ref="P10:P22">(LEFT(F10,(FIND("'",F10)-1)))+((MID(F10,FIND("-",F10)+1,((FIND("""",F10)-(FIND("-",F10))-1))))/12)</f>
        <v>53.25</v>
      </c>
    </row>
    <row r="11" spans="1:16" s="4" customFormat="1" ht="12" customHeight="1">
      <c r="A11" s="4" t="s">
        <v>42</v>
      </c>
      <c r="C11" s="5">
        <v>11</v>
      </c>
      <c r="D11" s="5">
        <v>4</v>
      </c>
      <c r="F11" s="8" t="s">
        <v>110</v>
      </c>
      <c r="G11" s="5" t="s">
        <v>17</v>
      </c>
      <c r="H11" s="7"/>
      <c r="I11" s="7"/>
      <c r="J11" s="8"/>
      <c r="K11" s="16">
        <f t="shared" si="0"/>
        <v>0</v>
      </c>
      <c r="L11" s="17">
        <f t="shared" si="1"/>
        <v>210</v>
      </c>
      <c r="M11" s="22">
        <f t="shared" si="2"/>
        <v>0</v>
      </c>
      <c r="N11" s="22">
        <f t="shared" si="3"/>
        <v>1115.73</v>
      </c>
      <c r="O11" s="14">
        <f t="shared" si="4"/>
        <v>5.313</v>
      </c>
      <c r="P11" s="15">
        <f t="shared" si="5"/>
        <v>52.5</v>
      </c>
    </row>
    <row r="12" spans="1:16" s="4" customFormat="1" ht="12" customHeight="1">
      <c r="A12" s="4" t="s">
        <v>42</v>
      </c>
      <c r="C12" s="5">
        <v>11</v>
      </c>
      <c r="D12" s="5">
        <v>4</v>
      </c>
      <c r="F12" s="8" t="s">
        <v>112</v>
      </c>
      <c r="G12" s="5" t="s">
        <v>17</v>
      </c>
      <c r="H12" s="7"/>
      <c r="I12" s="7"/>
      <c r="J12" s="8"/>
      <c r="K12" s="16">
        <f t="shared" si="0"/>
        <v>0</v>
      </c>
      <c r="L12" s="17">
        <f t="shared" si="1"/>
        <v>201.66666666666666</v>
      </c>
      <c r="M12" s="22">
        <f t="shared" si="2"/>
        <v>0</v>
      </c>
      <c r="N12" s="22">
        <f t="shared" si="3"/>
        <v>1071.455</v>
      </c>
      <c r="O12" s="14">
        <f t="shared" si="4"/>
        <v>5.313</v>
      </c>
      <c r="P12" s="15">
        <f t="shared" si="5"/>
        <v>50.416666666666664</v>
      </c>
    </row>
    <row r="13" spans="1:16" s="4" customFormat="1" ht="12" customHeight="1">
      <c r="A13" s="4" t="s">
        <v>42</v>
      </c>
      <c r="C13" s="5">
        <v>5</v>
      </c>
      <c r="D13" s="5">
        <v>4</v>
      </c>
      <c r="F13" s="8" t="s">
        <v>113</v>
      </c>
      <c r="G13" s="5"/>
      <c r="H13" s="7"/>
      <c r="I13" s="7"/>
      <c r="J13" s="8"/>
      <c r="K13" s="16">
        <f t="shared" si="0"/>
        <v>0</v>
      </c>
      <c r="L13" s="17">
        <f t="shared" si="1"/>
        <v>33</v>
      </c>
      <c r="M13" s="22">
        <f t="shared" si="2"/>
        <v>0</v>
      </c>
      <c r="N13" s="22">
        <f t="shared" si="3"/>
        <v>34.419</v>
      </c>
      <c r="O13" s="14">
        <f t="shared" si="4"/>
        <v>1.043</v>
      </c>
      <c r="P13" s="15">
        <f t="shared" si="5"/>
        <v>8.25</v>
      </c>
    </row>
    <row r="14" spans="1:16" s="4" customFormat="1" ht="12" customHeight="1">
      <c r="A14" s="4" t="s">
        <v>42</v>
      </c>
      <c r="C14" s="5">
        <v>5</v>
      </c>
      <c r="D14" s="5">
        <v>6</v>
      </c>
      <c r="F14" s="8" t="s">
        <v>92</v>
      </c>
      <c r="G14" s="5" t="s">
        <v>17</v>
      </c>
      <c r="H14" s="7"/>
      <c r="I14" s="7"/>
      <c r="J14" s="8"/>
      <c r="K14" s="16">
        <f t="shared" si="0"/>
        <v>0</v>
      </c>
      <c r="L14" s="17">
        <f t="shared" si="1"/>
        <v>240</v>
      </c>
      <c r="M14" s="22">
        <f t="shared" si="2"/>
        <v>0</v>
      </c>
      <c r="N14" s="22">
        <f t="shared" si="3"/>
        <v>250.32</v>
      </c>
      <c r="O14" s="14">
        <f t="shared" si="4"/>
        <v>1.043</v>
      </c>
      <c r="P14" s="15">
        <f t="shared" si="5"/>
        <v>40</v>
      </c>
    </row>
    <row r="15" spans="1:16" s="4" customFormat="1" ht="12" customHeight="1">
      <c r="A15" s="4" t="s">
        <v>42</v>
      </c>
      <c r="C15" s="5">
        <v>5</v>
      </c>
      <c r="D15" s="5">
        <v>6</v>
      </c>
      <c r="F15" s="8" t="s">
        <v>66</v>
      </c>
      <c r="G15" s="5" t="s">
        <v>17</v>
      </c>
      <c r="H15" s="7"/>
      <c r="I15" s="7"/>
      <c r="J15" s="8"/>
      <c r="K15" s="16">
        <f t="shared" si="0"/>
        <v>0</v>
      </c>
      <c r="L15" s="17">
        <f t="shared" si="1"/>
        <v>70.5</v>
      </c>
      <c r="M15" s="22">
        <f t="shared" si="2"/>
        <v>0</v>
      </c>
      <c r="N15" s="22">
        <f t="shared" si="3"/>
        <v>73.5315</v>
      </c>
      <c r="O15" s="14">
        <f t="shared" si="4"/>
        <v>1.043</v>
      </c>
      <c r="P15" s="15">
        <f t="shared" si="5"/>
        <v>11.75</v>
      </c>
    </row>
    <row r="16" spans="1:16" s="4" customFormat="1" ht="12" customHeight="1">
      <c r="A16" s="4" t="s">
        <v>42</v>
      </c>
      <c r="C16" s="5">
        <v>5</v>
      </c>
      <c r="D16" s="5">
        <v>6</v>
      </c>
      <c r="F16" s="8" t="s">
        <v>113</v>
      </c>
      <c r="G16" s="5"/>
      <c r="H16" s="7"/>
      <c r="I16" s="7"/>
      <c r="J16" s="8"/>
      <c r="K16" s="16">
        <f t="shared" si="0"/>
        <v>0</v>
      </c>
      <c r="L16" s="17">
        <f t="shared" si="1"/>
        <v>49.5</v>
      </c>
      <c r="M16" s="22">
        <f t="shared" si="2"/>
        <v>0</v>
      </c>
      <c r="N16" s="22">
        <f t="shared" si="3"/>
        <v>51.628499999999995</v>
      </c>
      <c r="O16" s="14">
        <f t="shared" si="4"/>
        <v>1.043</v>
      </c>
      <c r="P16" s="15">
        <f t="shared" si="5"/>
        <v>8.25</v>
      </c>
    </row>
    <row r="17" spans="1:16" s="4" customFormat="1" ht="12" customHeight="1">
      <c r="A17" s="4" t="s">
        <v>99</v>
      </c>
      <c r="B17" s="4" t="s">
        <v>16</v>
      </c>
      <c r="C17" s="5">
        <v>6</v>
      </c>
      <c r="D17" s="5">
        <v>107</v>
      </c>
      <c r="F17" s="8" t="s">
        <v>127</v>
      </c>
      <c r="G17" s="5" t="s">
        <v>100</v>
      </c>
      <c r="H17" s="7"/>
      <c r="I17" s="7"/>
      <c r="J17" s="8"/>
      <c r="K17" s="16">
        <f t="shared" si="0"/>
        <v>650.9166666666666</v>
      </c>
      <c r="L17" s="17">
        <f t="shared" si="1"/>
        <v>0</v>
      </c>
      <c r="M17" s="22">
        <f t="shared" si="2"/>
        <v>977.6768333333333</v>
      </c>
      <c r="N17" s="22">
        <f t="shared" si="3"/>
        <v>0</v>
      </c>
      <c r="O17" s="14">
        <f t="shared" si="4"/>
        <v>1.502</v>
      </c>
      <c r="P17" s="15">
        <f t="shared" si="5"/>
        <v>6.083333333333333</v>
      </c>
    </row>
    <row r="18" spans="1:16" s="4" customFormat="1" ht="12" customHeight="1">
      <c r="A18" s="4" t="s">
        <v>44</v>
      </c>
      <c r="C18" s="5">
        <v>5</v>
      </c>
      <c r="D18" s="5">
        <v>2</v>
      </c>
      <c r="F18" s="8" t="s">
        <v>88</v>
      </c>
      <c r="G18" s="5" t="s">
        <v>100</v>
      </c>
      <c r="H18" s="7"/>
      <c r="I18" s="7"/>
      <c r="J18" s="8"/>
      <c r="K18" s="16">
        <f t="shared" si="0"/>
        <v>0</v>
      </c>
      <c r="L18" s="17">
        <f t="shared" si="1"/>
        <v>35.666666666666664</v>
      </c>
      <c r="M18" s="22">
        <f t="shared" si="2"/>
        <v>0</v>
      </c>
      <c r="N18" s="22">
        <f t="shared" si="3"/>
        <v>37.200333333333326</v>
      </c>
      <c r="O18" s="14">
        <f t="shared" si="4"/>
        <v>1.043</v>
      </c>
      <c r="P18" s="15">
        <f t="shared" si="5"/>
        <v>17.833333333333332</v>
      </c>
    </row>
    <row r="19" spans="1:16" s="4" customFormat="1" ht="12" customHeight="1">
      <c r="A19" s="4" t="s">
        <v>44</v>
      </c>
      <c r="C19" s="5">
        <v>5</v>
      </c>
      <c r="D19" s="5">
        <v>2</v>
      </c>
      <c r="F19" s="8" t="s">
        <v>69</v>
      </c>
      <c r="G19" s="5" t="s">
        <v>100</v>
      </c>
      <c r="H19" s="7"/>
      <c r="I19" s="7"/>
      <c r="J19" s="8"/>
      <c r="K19" s="16">
        <f t="shared" si="0"/>
        <v>0</v>
      </c>
      <c r="L19" s="17">
        <f t="shared" si="1"/>
        <v>33.666666666666664</v>
      </c>
      <c r="M19" s="22">
        <f t="shared" si="2"/>
        <v>0</v>
      </c>
      <c r="N19" s="22">
        <f t="shared" si="3"/>
        <v>35.11433333333333</v>
      </c>
      <c r="O19" s="14">
        <f t="shared" si="4"/>
        <v>1.043</v>
      </c>
      <c r="P19" s="15">
        <f t="shared" si="5"/>
        <v>16.833333333333332</v>
      </c>
    </row>
    <row r="20" spans="1:16" s="4" customFormat="1" ht="12" customHeight="1">
      <c r="A20" s="4" t="s">
        <v>44</v>
      </c>
      <c r="C20" s="5">
        <v>5</v>
      </c>
      <c r="D20" s="5">
        <v>101</v>
      </c>
      <c r="F20" s="8" t="s">
        <v>114</v>
      </c>
      <c r="G20" s="5" t="s">
        <v>100</v>
      </c>
      <c r="H20" s="7"/>
      <c r="I20" s="7"/>
      <c r="J20" s="8"/>
      <c r="K20" s="16">
        <f t="shared" si="0"/>
        <v>0</v>
      </c>
      <c r="L20" s="17">
        <f t="shared" si="1"/>
        <v>1851.6666666666665</v>
      </c>
      <c r="M20" s="22">
        <f t="shared" si="2"/>
        <v>0</v>
      </c>
      <c r="N20" s="22">
        <f t="shared" si="3"/>
        <v>1931.288333333333</v>
      </c>
      <c r="O20" s="14">
        <f t="shared" si="4"/>
        <v>1.043</v>
      </c>
      <c r="P20" s="15">
        <f t="shared" si="5"/>
        <v>18.333333333333332</v>
      </c>
    </row>
    <row r="21" spans="1:16" s="4" customFormat="1" ht="12" customHeight="1">
      <c r="A21" s="4" t="s">
        <v>41</v>
      </c>
      <c r="C21" s="5">
        <v>8</v>
      </c>
      <c r="D21" s="5">
        <v>15</v>
      </c>
      <c r="F21" s="8" t="s">
        <v>116</v>
      </c>
      <c r="G21" s="5" t="s">
        <v>17</v>
      </c>
      <c r="H21" s="7"/>
      <c r="I21" s="7"/>
      <c r="J21" s="8"/>
      <c r="K21" s="16">
        <f t="shared" si="0"/>
        <v>0</v>
      </c>
      <c r="L21" s="17">
        <f t="shared" si="1"/>
        <v>167.5</v>
      </c>
      <c r="M21" s="22">
        <f t="shared" si="2"/>
        <v>0</v>
      </c>
      <c r="N21" s="22">
        <f t="shared" si="3"/>
        <v>447.22499999999997</v>
      </c>
      <c r="O21" s="14">
        <f t="shared" si="4"/>
        <v>2.67</v>
      </c>
      <c r="P21" s="15">
        <f t="shared" si="5"/>
        <v>11.166666666666666</v>
      </c>
    </row>
    <row r="22" spans="1:16" s="4" customFormat="1" ht="12" customHeight="1">
      <c r="A22" s="4" t="s">
        <v>115</v>
      </c>
      <c r="C22" s="5">
        <v>4</v>
      </c>
      <c r="D22" s="5">
        <v>13</v>
      </c>
      <c r="F22" s="8" t="s">
        <v>61</v>
      </c>
      <c r="G22" s="5"/>
      <c r="H22" s="7"/>
      <c r="I22" s="7"/>
      <c r="J22" s="8"/>
      <c r="K22" s="16">
        <f t="shared" si="0"/>
        <v>0</v>
      </c>
      <c r="L22" s="17">
        <f t="shared" si="1"/>
        <v>101.83333333333333</v>
      </c>
      <c r="M22" s="22">
        <f t="shared" si="2"/>
        <v>0</v>
      </c>
      <c r="N22" s="22">
        <f t="shared" si="3"/>
        <v>68.02466666666666</v>
      </c>
      <c r="O22" s="14">
        <f t="shared" si="4"/>
        <v>0.668</v>
      </c>
      <c r="P22" s="15">
        <f t="shared" si="5"/>
        <v>7.833333333333333</v>
      </c>
    </row>
    <row r="23" spans="1:16" s="4" customFormat="1" ht="12" customHeight="1">
      <c r="A23" s="5"/>
      <c r="C23" s="7"/>
      <c r="D23" s="7"/>
      <c r="E23" s="5"/>
      <c r="F23" s="8"/>
      <c r="G23" s="7"/>
      <c r="H23" s="5"/>
      <c r="I23" s="5"/>
      <c r="J23" s="5"/>
      <c r="K23" s="12"/>
      <c r="L23" s="13"/>
      <c r="M23" s="13"/>
      <c r="N23" s="13"/>
      <c r="O23" s="5"/>
      <c r="P23" s="5"/>
    </row>
    <row r="24" spans="1:16" s="4" customFormat="1" ht="12" customHeight="1">
      <c r="A24" s="5"/>
      <c r="C24" s="7"/>
      <c r="D24" s="7"/>
      <c r="E24" s="5"/>
      <c r="F24" s="8"/>
      <c r="G24" s="7"/>
      <c r="H24" s="5"/>
      <c r="I24" s="5"/>
      <c r="J24" s="5"/>
      <c r="K24" s="12"/>
      <c r="L24" s="13"/>
      <c r="M24" s="13"/>
      <c r="N24" s="13"/>
      <c r="O24" s="5"/>
      <c r="P24" s="5"/>
    </row>
    <row r="25" spans="1:16" s="4" customFormat="1" ht="12" customHeight="1">
      <c r="A25" s="5"/>
      <c r="C25" s="7"/>
      <c r="D25" s="7"/>
      <c r="E25" s="5"/>
      <c r="F25" s="8"/>
      <c r="G25" s="7"/>
      <c r="H25" s="5"/>
      <c r="I25" s="5"/>
      <c r="J25" s="5"/>
      <c r="K25" s="12"/>
      <c r="L25" s="13"/>
      <c r="M25" s="13"/>
      <c r="N25" s="13"/>
      <c r="O25" s="5"/>
      <c r="P25" s="5"/>
    </row>
    <row r="26" spans="1:16" s="4" customFormat="1" ht="12" customHeight="1">
      <c r="A26" s="5"/>
      <c r="C26" s="7"/>
      <c r="D26" s="7"/>
      <c r="E26" s="5"/>
      <c r="F26" s="8"/>
      <c r="G26" s="7"/>
      <c r="H26" s="5"/>
      <c r="I26" s="5"/>
      <c r="J26" s="5"/>
      <c r="K26" s="12"/>
      <c r="L26" s="13"/>
      <c r="M26" s="13"/>
      <c r="N26" s="13"/>
      <c r="O26" s="5"/>
      <c r="P26" s="5"/>
    </row>
    <row r="27" spans="1:16" s="4" customFormat="1" ht="12" customHeight="1">
      <c r="A27" s="5"/>
      <c r="C27" s="7"/>
      <c r="D27" s="7"/>
      <c r="E27" s="5"/>
      <c r="F27" s="8"/>
      <c r="G27" s="7"/>
      <c r="H27" s="5"/>
      <c r="I27" s="5"/>
      <c r="J27" s="5"/>
      <c r="K27" s="12"/>
      <c r="L27" s="13"/>
      <c r="M27" s="13"/>
      <c r="N27" s="13"/>
      <c r="O27" s="5"/>
      <c r="P27" s="5"/>
    </row>
    <row r="28" spans="1:16" s="4" customFormat="1" ht="12" customHeight="1">
      <c r="A28" s="5"/>
      <c r="C28" s="7"/>
      <c r="D28" s="7"/>
      <c r="E28" s="5"/>
      <c r="F28" s="8"/>
      <c r="G28" s="7"/>
      <c r="H28" s="5"/>
      <c r="I28" s="5"/>
      <c r="J28" s="5"/>
      <c r="K28" s="12"/>
      <c r="L28" s="13"/>
      <c r="M28" s="13"/>
      <c r="N28" s="13"/>
      <c r="O28" s="5"/>
      <c r="P28" s="5"/>
    </row>
    <row r="29" spans="1:16" s="4" customFormat="1" ht="12" customHeight="1">
      <c r="A29" s="5"/>
      <c r="C29" s="7"/>
      <c r="D29" s="7"/>
      <c r="E29" s="5"/>
      <c r="F29" s="8"/>
      <c r="G29" s="7"/>
      <c r="H29" s="5"/>
      <c r="I29" s="5"/>
      <c r="J29" s="5"/>
      <c r="K29" s="12"/>
      <c r="L29" s="13"/>
      <c r="M29" s="13"/>
      <c r="N29" s="13"/>
      <c r="O29" s="5"/>
      <c r="P29" s="5"/>
    </row>
    <row r="30" spans="8:12" ht="15">
      <c r="H30" s="33" t="s">
        <v>46</v>
      </c>
      <c r="I30" s="33"/>
      <c r="J30" s="33"/>
      <c r="K30" s="33"/>
      <c r="L30" s="33"/>
    </row>
    <row r="31" spans="5:14" ht="15">
      <c r="E31" s="18"/>
      <c r="F31" s="33" t="s">
        <v>32</v>
      </c>
      <c r="G31" s="33"/>
      <c r="H31" s="33"/>
      <c r="I31" s="33"/>
      <c r="J31" s="18"/>
      <c r="K31" s="33" t="s">
        <v>33</v>
      </c>
      <c r="L31" s="33"/>
      <c r="M31" s="33"/>
      <c r="N31" s="33"/>
    </row>
    <row r="32" spans="5:14" ht="14.25">
      <c r="E32" s="18"/>
      <c r="F32" s="18"/>
      <c r="G32" s="18"/>
      <c r="H32" s="18"/>
      <c r="I32" s="18"/>
      <c r="J32" s="18"/>
      <c r="K32" s="18"/>
      <c r="L32" s="18"/>
      <c r="M32" s="18"/>
      <c r="N32" s="18"/>
    </row>
    <row r="33" spans="6:14" ht="12">
      <c r="F33" s="2" t="s">
        <v>34</v>
      </c>
      <c r="G33" s="2"/>
      <c r="H33" s="2" t="s">
        <v>23</v>
      </c>
      <c r="I33" s="2"/>
      <c r="K33" s="2" t="s">
        <v>34</v>
      </c>
      <c r="L33" s="2"/>
      <c r="M33" s="2" t="s">
        <v>23</v>
      </c>
      <c r="N33" s="2"/>
    </row>
    <row r="34" spans="6:14" ht="12">
      <c r="F34" s="2" t="s">
        <v>35</v>
      </c>
      <c r="G34" s="2" t="s">
        <v>9</v>
      </c>
      <c r="H34" s="2" t="s">
        <v>21</v>
      </c>
      <c r="I34" s="2"/>
      <c r="K34" s="2" t="s">
        <v>35</v>
      </c>
      <c r="L34" s="2" t="s">
        <v>9</v>
      </c>
      <c r="M34" s="2" t="s">
        <v>21</v>
      </c>
      <c r="N34" s="2"/>
    </row>
    <row r="35" spans="6:14" ht="12">
      <c r="F35" s="2" t="s">
        <v>22</v>
      </c>
      <c r="G35" s="2" t="s">
        <v>15</v>
      </c>
      <c r="H35" s="2" t="s">
        <v>22</v>
      </c>
      <c r="I35" s="2" t="s">
        <v>10</v>
      </c>
      <c r="K35" s="2" t="s">
        <v>22</v>
      </c>
      <c r="L35" s="2" t="s">
        <v>15</v>
      </c>
      <c r="M35" s="2" t="s">
        <v>22</v>
      </c>
      <c r="N35" s="2" t="s">
        <v>10</v>
      </c>
    </row>
    <row r="36" spans="6:14" ht="12">
      <c r="F36" s="2"/>
      <c r="G36" s="2"/>
      <c r="H36" s="2"/>
      <c r="I36" s="2"/>
      <c r="K36" s="2"/>
      <c r="L36" s="2"/>
      <c r="M36" s="2"/>
      <c r="N36" s="2"/>
    </row>
    <row r="37" spans="5:14" ht="12">
      <c r="E37">
        <f>SUMIF($C$11:$C$26,4,$D$11:$D$26)</f>
        <v>13</v>
      </c>
      <c r="F37" s="12">
        <f>SUMIF(C7:C30,"=4",K7:K30)</f>
        <v>0</v>
      </c>
      <c r="G37" s="2" t="s">
        <v>24</v>
      </c>
      <c r="H37" s="19">
        <f>F5</f>
        <v>0.668</v>
      </c>
      <c r="I37" s="20">
        <f>SUMIF(C7:C30,"=4",M7:M30)</f>
        <v>0</v>
      </c>
      <c r="K37" s="12">
        <f>SUMIF(C7:C30,"=4",L7:L30)</f>
        <v>101.83333333333333</v>
      </c>
      <c r="L37" s="2" t="s">
        <v>24</v>
      </c>
      <c r="M37" s="19">
        <f>F5</f>
        <v>0.668</v>
      </c>
      <c r="N37" s="20">
        <f>SUMIF(C7:C30,"=4",N7:N30)</f>
        <v>68.02466666666666</v>
      </c>
    </row>
    <row r="38" spans="5:14" ht="12">
      <c r="E38">
        <f>SUMIF($C$11:$C$26,5,$D$11:$D$26)</f>
        <v>127</v>
      </c>
      <c r="F38" s="12">
        <f>SUMIF(C7:C30,"=5",K7:K30)</f>
        <v>0</v>
      </c>
      <c r="G38" s="2" t="s">
        <v>25</v>
      </c>
      <c r="H38" s="19">
        <f>G5</f>
        <v>1.043</v>
      </c>
      <c r="I38" s="20">
        <f>SUMIF(C7:C30,"=5",M7:M30)</f>
        <v>0</v>
      </c>
      <c r="K38" s="12">
        <f>SUMIF(C7:C30,"=5",L7:L30)</f>
        <v>2314</v>
      </c>
      <c r="L38" s="2" t="s">
        <v>25</v>
      </c>
      <c r="M38" s="19">
        <f>G5</f>
        <v>1.043</v>
      </c>
      <c r="N38" s="20">
        <f>SUMIF(C7:C30,"=5",N7:N30)</f>
        <v>2413.5019999999995</v>
      </c>
    </row>
    <row r="39" spans="5:14" ht="12">
      <c r="E39">
        <f>SUMIF($C$11:$C$26,6,$D$11:$D$26)</f>
        <v>107</v>
      </c>
      <c r="F39" s="12">
        <f>SUMIF(C7:C30,"=6",K7:K30)</f>
        <v>650.9166666666666</v>
      </c>
      <c r="G39" s="2" t="s">
        <v>26</v>
      </c>
      <c r="H39" s="19">
        <f>H5</f>
        <v>1.502</v>
      </c>
      <c r="I39" s="20">
        <f>SUMIF(C7:C30,"=6",M7:M30)</f>
        <v>977.6768333333333</v>
      </c>
      <c r="K39" s="12">
        <f>SUMIF(C7:C30,"=6",L7:L30)</f>
        <v>0</v>
      </c>
      <c r="L39" s="2" t="s">
        <v>26</v>
      </c>
      <c r="M39" s="19">
        <f>H5</f>
        <v>1.502</v>
      </c>
      <c r="N39" s="20">
        <f>SUMIF(C7:C30,"=6",N7:N30)</f>
        <v>0</v>
      </c>
    </row>
    <row r="40" spans="5:14" ht="12">
      <c r="E40">
        <f>SUMIF($C$11:$C$26,7,$D$11:$D$26)</f>
        <v>0</v>
      </c>
      <c r="F40" s="12">
        <f>SUMIF(C7:C30,"=7",K7:K30)</f>
        <v>0</v>
      </c>
      <c r="G40" s="2" t="s">
        <v>27</v>
      </c>
      <c r="H40" s="19">
        <f>I5</f>
        <v>2.044</v>
      </c>
      <c r="I40" s="20">
        <f>SUMIF(C7:C30,"=7",M7:M30)</f>
        <v>0</v>
      </c>
      <c r="K40" s="12">
        <f>SUMIF(C7:C30,"=7",L7:L30)</f>
        <v>0</v>
      </c>
      <c r="L40" s="2" t="s">
        <v>27</v>
      </c>
      <c r="M40" s="19">
        <f>I5</f>
        <v>2.044</v>
      </c>
      <c r="N40" s="20">
        <f>SUMIF(C7:C30,"=7",N7:N30)</f>
        <v>0</v>
      </c>
    </row>
    <row r="41" spans="5:14" ht="12">
      <c r="E41">
        <f>SUMIF($C$11:$C$26,8,$D$11:$D$26)</f>
        <v>15</v>
      </c>
      <c r="F41" s="12">
        <f>SUMIF(C7:C30,"=8",K7:K30)</f>
        <v>0</v>
      </c>
      <c r="G41" s="2" t="s">
        <v>28</v>
      </c>
      <c r="H41" s="19">
        <f>J5</f>
        <v>2.67</v>
      </c>
      <c r="I41" s="20">
        <f>SUMIF(C7:C30,"=8",M7:M30)</f>
        <v>0</v>
      </c>
      <c r="K41" s="12">
        <f>SUMIF(C7:C30,"=8",L7:L30)</f>
        <v>167.5</v>
      </c>
      <c r="L41" s="2" t="s">
        <v>28</v>
      </c>
      <c r="M41" s="19">
        <f>J5</f>
        <v>2.67</v>
      </c>
      <c r="N41" s="20">
        <f>SUMIF(C7:C30,"=8",N7:N30)</f>
        <v>447.22499999999997</v>
      </c>
    </row>
    <row r="42" spans="5:14" ht="12">
      <c r="E42">
        <f>SUMIF($C$11:$C$26,9,$D$11:$D$26)</f>
        <v>0</v>
      </c>
      <c r="F42" s="12">
        <f>SUMIF(C7:C30,"=9",K7:K30)</f>
        <v>0</v>
      </c>
      <c r="G42" s="2" t="s">
        <v>29</v>
      </c>
      <c r="H42" s="19">
        <f>K5</f>
        <v>3.4</v>
      </c>
      <c r="I42" s="20">
        <f>SUMIF(C7:C30,"=9",M7:M30)</f>
        <v>0</v>
      </c>
      <c r="K42" s="12">
        <f>SUMIF(C7:C30,"=9",L7:L30)</f>
        <v>0</v>
      </c>
      <c r="L42" s="2" t="s">
        <v>29</v>
      </c>
      <c r="M42" s="19">
        <f>K5</f>
        <v>3.4</v>
      </c>
      <c r="N42" s="20">
        <f>SUMIF(C7:C30,"=9",N7:N30)</f>
        <v>0</v>
      </c>
    </row>
    <row r="43" spans="5:14" ht="12">
      <c r="E43">
        <f>SUMIF($C$11:$C$26,10,$D$11:$D$26)</f>
        <v>0</v>
      </c>
      <c r="F43" s="12">
        <f>SUMIF(C7:C30,"=10",K7:K30)</f>
        <v>0</v>
      </c>
      <c r="G43" s="2" t="s">
        <v>30</v>
      </c>
      <c r="H43" s="19">
        <f>L5</f>
        <v>4.303</v>
      </c>
      <c r="I43" s="20">
        <f>SUMIF(C7:C30,"=10",M7:M30)</f>
        <v>0</v>
      </c>
      <c r="K43" s="12">
        <f>SUMIF(C7:C30,"=10",L7:L30)</f>
        <v>0</v>
      </c>
      <c r="L43" s="2" t="s">
        <v>30</v>
      </c>
      <c r="M43" s="19">
        <f>L5</f>
        <v>4.303</v>
      </c>
      <c r="N43" s="20">
        <f>SUMIF(C7:C30,"=10",N7:N30)</f>
        <v>0</v>
      </c>
    </row>
    <row r="44" spans="5:14" ht="12">
      <c r="E44">
        <f>SUMIF($C$11:$C$26,11,$D$11:$D$26)</f>
        <v>8</v>
      </c>
      <c r="F44" s="12">
        <f>SUMIF(C7:C30,"=11",K7:K30)</f>
        <v>0</v>
      </c>
      <c r="G44" s="2" t="s">
        <v>31</v>
      </c>
      <c r="H44" s="19">
        <f>M5</f>
        <v>5.313</v>
      </c>
      <c r="I44" s="20">
        <f>SUMIF(C7:C30,"=11",M7:M30)</f>
        <v>0</v>
      </c>
      <c r="K44" s="12">
        <f>SUMIF(C7:C30,"=11",L7:L30)</f>
        <v>731.1666666666666</v>
      </c>
      <c r="L44" s="2" t="s">
        <v>31</v>
      </c>
      <c r="M44" s="19">
        <f>M5</f>
        <v>5.313</v>
      </c>
      <c r="N44" s="20">
        <f>SUMIF(C7:C30,"=11",N7:N30)</f>
        <v>3884.6884999999997</v>
      </c>
    </row>
    <row r="45" spans="8:14" ht="12">
      <c r="H45" s="2" t="s">
        <v>3</v>
      </c>
      <c r="I45" s="31">
        <f>SUM(I37:I44)</f>
        <v>977.6768333333333</v>
      </c>
      <c r="M45" s="2" t="s">
        <v>3</v>
      </c>
      <c r="N45" s="31">
        <f>SUM(N37:N44)</f>
        <v>6813.440166666665</v>
      </c>
    </row>
  </sheetData>
  <sheetProtection/>
  <mergeCells count="4">
    <mergeCell ref="A5:E5"/>
    <mergeCell ref="H30:L30"/>
    <mergeCell ref="F31:I31"/>
    <mergeCell ref="K31:N31"/>
  </mergeCells>
  <printOptions gridLines="1" horizontalCentered="1"/>
  <pageMargins left="0.25" right="0.25" top="0.5" bottom="0.5" header="0.25" footer="0.25"/>
  <pageSetup fitToHeight="1" fitToWidth="1" horizontalDpi="600" verticalDpi="600" orientation="landscape" scale="74" r:id="rId2"/>
  <headerFooter alignWithMargins="0">
    <oddHeader>&amp;C&amp;A&amp;R&amp;D</oddHead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P80"/>
  <sheetViews>
    <sheetView zoomScalePageLayoutView="0" workbookViewId="0" topLeftCell="A34">
      <selection activeCell="A63" sqref="A63"/>
    </sheetView>
  </sheetViews>
  <sheetFormatPr defaultColWidth="9.00390625" defaultRowHeight="12.75"/>
  <cols>
    <col min="1" max="1" width="28.375" style="0" customWidth="1"/>
    <col min="2" max="2" width="2.125" style="0" customWidth="1"/>
    <col min="3" max="3" width="4.875" style="0" customWidth="1"/>
    <col min="4" max="4" width="5.75390625" style="0" customWidth="1"/>
    <col min="5" max="5" width="5.50390625" style="0" customWidth="1"/>
    <col min="6" max="6" width="12.75390625" style="0" customWidth="1"/>
    <col min="7" max="10" width="10.75390625" style="0" customWidth="1"/>
    <col min="11" max="12" width="12.75390625" style="0" customWidth="1"/>
    <col min="13" max="14" width="10.75390625" style="0" customWidth="1"/>
    <col min="15" max="15" width="8.875" style="0" hidden="1" customWidth="1"/>
    <col min="16" max="16" width="7.875" style="0" hidden="1" customWidth="1"/>
  </cols>
  <sheetData>
    <row r="1" spans="1:6" ht="12" customHeight="1">
      <c r="A1" s="1" t="str">
        <f>'Reinf Superstr.'!A1</f>
        <v>Project No: XXXXXXXX</v>
      </c>
      <c r="B1" s="4"/>
      <c r="C1" s="1"/>
      <c r="D1" s="4"/>
      <c r="E1" s="4"/>
      <c r="F1" s="4"/>
    </row>
    <row r="2" spans="1:6" ht="12" customHeight="1">
      <c r="A2" s="1" t="str">
        <f>'Reinf Superstr.'!A2</f>
        <v>Str. No.: X-XX-XXX</v>
      </c>
      <c r="B2" s="4"/>
      <c r="C2" s="1"/>
      <c r="D2" s="4"/>
      <c r="E2" s="4"/>
      <c r="F2" s="4"/>
    </row>
    <row r="3" spans="1:6" ht="12" customHeight="1">
      <c r="A3" s="1" t="str">
        <f>'Reinf Superstr.'!A3</f>
        <v>By: XXXXXXXXX</v>
      </c>
      <c r="B3" s="4"/>
      <c r="C3" s="1"/>
      <c r="D3" s="4"/>
      <c r="E3" s="4"/>
      <c r="F3" s="4"/>
    </row>
    <row r="4" spans="3:13" s="4" customFormat="1" ht="12" customHeight="1">
      <c r="C4" s="1"/>
      <c r="F4" s="9">
        <v>4</v>
      </c>
      <c r="G4" s="9">
        <v>5</v>
      </c>
      <c r="H4" s="9">
        <v>6</v>
      </c>
      <c r="I4" s="9">
        <v>7</v>
      </c>
      <c r="J4" s="9">
        <v>8</v>
      </c>
      <c r="K4" s="9">
        <v>9</v>
      </c>
      <c r="L4" s="9">
        <v>10</v>
      </c>
      <c r="M4" s="9">
        <v>11</v>
      </c>
    </row>
    <row r="5" spans="1:13" s="4" customFormat="1" ht="15">
      <c r="A5" s="32" t="s">
        <v>132</v>
      </c>
      <c r="B5" s="32"/>
      <c r="C5" s="32"/>
      <c r="D5" s="32"/>
      <c r="E5" s="32"/>
      <c r="F5" s="10">
        <v>0.668</v>
      </c>
      <c r="G5" s="10">
        <v>1.043</v>
      </c>
      <c r="H5" s="10">
        <v>1.502</v>
      </c>
      <c r="I5" s="10">
        <v>2.044</v>
      </c>
      <c r="J5" s="10">
        <v>2.67</v>
      </c>
      <c r="K5" s="11">
        <v>3.4</v>
      </c>
      <c r="L5" s="11">
        <v>4.303</v>
      </c>
      <c r="M5" s="11">
        <v>5.313</v>
      </c>
    </row>
    <row r="6" spans="3:13" s="4" customFormat="1" ht="12" customHeight="1">
      <c r="C6" s="1"/>
      <c r="F6" s="10"/>
      <c r="G6" s="10"/>
      <c r="H6" s="10"/>
      <c r="I6" s="10"/>
      <c r="J6" s="10"/>
      <c r="K6" s="11"/>
      <c r="L6" s="11"/>
      <c r="M6" s="11"/>
    </row>
    <row r="7" spans="1:13" s="4" customFormat="1" ht="12" customHeight="1">
      <c r="A7" s="23" t="s">
        <v>63</v>
      </c>
      <c r="C7" s="1"/>
      <c r="F7" s="10"/>
      <c r="G7" s="10"/>
      <c r="H7" s="10"/>
      <c r="I7" s="10"/>
      <c r="J7" s="10"/>
      <c r="K7" s="11"/>
      <c r="L7" s="11"/>
      <c r="M7" s="11"/>
    </row>
    <row r="8" spans="3:14" s="4" customFormat="1" ht="12" customHeight="1">
      <c r="C8" s="6"/>
      <c r="D8" s="6"/>
      <c r="E8" s="7" t="s">
        <v>0</v>
      </c>
      <c r="K8" s="12" t="s">
        <v>4</v>
      </c>
      <c r="L8" s="13" t="s">
        <v>5</v>
      </c>
      <c r="M8" s="13" t="s">
        <v>4</v>
      </c>
      <c r="N8" s="13" t="s">
        <v>5</v>
      </c>
    </row>
    <row r="9" spans="3:16" s="4" customFormat="1" ht="12" customHeight="1">
      <c r="C9" s="7" t="s">
        <v>9</v>
      </c>
      <c r="D9" s="7" t="s">
        <v>0</v>
      </c>
      <c r="E9" s="7" t="s">
        <v>8</v>
      </c>
      <c r="F9" s="8"/>
      <c r="G9" s="7"/>
      <c r="H9" s="6" t="s">
        <v>7</v>
      </c>
      <c r="I9" s="6"/>
      <c r="J9" s="6"/>
      <c r="K9" s="12" t="s">
        <v>1</v>
      </c>
      <c r="L9" s="13" t="s">
        <v>1</v>
      </c>
      <c r="M9" s="13" t="s">
        <v>1</v>
      </c>
      <c r="N9" s="13" t="s">
        <v>1</v>
      </c>
      <c r="P9" s="6"/>
    </row>
    <row r="10" spans="1:16" s="4" customFormat="1" ht="12" customHeight="1">
      <c r="A10" s="5" t="s">
        <v>18</v>
      </c>
      <c r="C10" s="7" t="s">
        <v>15</v>
      </c>
      <c r="D10" s="7" t="s">
        <v>8</v>
      </c>
      <c r="E10" s="5" t="s">
        <v>14</v>
      </c>
      <c r="F10" s="8" t="s">
        <v>2</v>
      </c>
      <c r="G10" s="7" t="s">
        <v>6</v>
      </c>
      <c r="H10" s="5" t="s">
        <v>11</v>
      </c>
      <c r="I10" s="5" t="s">
        <v>12</v>
      </c>
      <c r="J10" s="5" t="s">
        <v>13</v>
      </c>
      <c r="K10" s="12" t="s">
        <v>2</v>
      </c>
      <c r="L10" s="13" t="s">
        <v>2</v>
      </c>
      <c r="M10" s="13" t="s">
        <v>10</v>
      </c>
      <c r="N10" s="13" t="s">
        <v>10</v>
      </c>
      <c r="O10" s="5" t="s">
        <v>10</v>
      </c>
      <c r="P10" s="5" t="s">
        <v>2</v>
      </c>
    </row>
    <row r="11" spans="1:16" s="4" customFormat="1" ht="12" customHeight="1">
      <c r="A11" s="4" t="s">
        <v>38</v>
      </c>
      <c r="B11" s="4" t="s">
        <v>16</v>
      </c>
      <c r="C11" s="5">
        <v>11</v>
      </c>
      <c r="D11" s="5">
        <v>6</v>
      </c>
      <c r="F11" s="8" t="s">
        <v>87</v>
      </c>
      <c r="G11" s="5"/>
      <c r="H11" s="7"/>
      <c r="I11" s="7"/>
      <c r="J11" s="7"/>
      <c r="K11" s="16">
        <f>IF($B11="E",$D11*$P11,0)</f>
        <v>216</v>
      </c>
      <c r="L11" s="17">
        <f>IF($B11="E",0,$D11*$P11)</f>
        <v>0</v>
      </c>
      <c r="M11" s="22">
        <f>$K11*$O11</f>
        <v>1147.608</v>
      </c>
      <c r="N11" s="22">
        <f>$L11*$O11</f>
        <v>0</v>
      </c>
      <c r="O11" s="14">
        <f aca="true" t="shared" si="0" ref="O11:O22">LOOKUP(C11,$F$4:$M$4,$F$5:$M$5)</f>
        <v>5.313</v>
      </c>
      <c r="P11" s="15">
        <f aca="true" t="shared" si="1" ref="P11:P22">(LEFT(F11,(FIND("'",F11)-1)))+((MID(F11,FIND("-",F11)+1,((FIND("""",F11)-(FIND("-",F11))-1))))/12)</f>
        <v>36</v>
      </c>
    </row>
    <row r="12" spans="1:16" s="4" customFormat="1" ht="12" customHeight="1">
      <c r="A12" s="4" t="s">
        <v>38</v>
      </c>
      <c r="B12" s="4" t="s">
        <v>16</v>
      </c>
      <c r="C12" s="5">
        <v>5</v>
      </c>
      <c r="D12" s="5">
        <v>18</v>
      </c>
      <c r="F12" s="8" t="s">
        <v>71</v>
      </c>
      <c r="G12" s="5"/>
      <c r="H12" s="7"/>
      <c r="I12" s="7"/>
      <c r="J12" s="16"/>
      <c r="K12" s="16">
        <f>IF($B12="E",$D12*$P12,0)</f>
        <v>489</v>
      </c>
      <c r="L12" s="17">
        <f>IF($B12="E",0,$D12*$P12)</f>
        <v>0</v>
      </c>
      <c r="M12" s="22">
        <f>$K12*$O12</f>
        <v>510.027</v>
      </c>
      <c r="N12" s="22">
        <f>$L12*$O12</f>
        <v>0</v>
      </c>
      <c r="O12" s="14">
        <f t="shared" si="0"/>
        <v>1.043</v>
      </c>
      <c r="P12" s="15">
        <f t="shared" si="1"/>
        <v>27.166666666666668</v>
      </c>
    </row>
    <row r="13" spans="1:16" s="4" customFormat="1" ht="12" customHeight="1">
      <c r="A13" s="4" t="s">
        <v>38</v>
      </c>
      <c r="B13" s="4" t="s">
        <v>16</v>
      </c>
      <c r="C13" s="5">
        <v>5</v>
      </c>
      <c r="D13" s="5">
        <v>12</v>
      </c>
      <c r="F13" s="8" t="s">
        <v>86</v>
      </c>
      <c r="G13" s="5"/>
      <c r="H13" s="7"/>
      <c r="I13" s="7"/>
      <c r="J13" s="7"/>
      <c r="K13" s="16">
        <f aca="true" t="shared" si="2" ref="K13:K22">IF($B13="E",$D13*$P13,0)</f>
        <v>76</v>
      </c>
      <c r="L13" s="17">
        <f aca="true" t="shared" si="3" ref="L13:L22">IF($B13="E",0,$D13*$P13)</f>
        <v>0</v>
      </c>
      <c r="M13" s="22">
        <f aca="true" t="shared" si="4" ref="M13:M22">$K13*$O13</f>
        <v>79.268</v>
      </c>
      <c r="N13" s="22">
        <f aca="true" t="shared" si="5" ref="N13:N22">$L13*$O13</f>
        <v>0</v>
      </c>
      <c r="O13" s="14">
        <f t="shared" si="0"/>
        <v>1.043</v>
      </c>
      <c r="P13" s="15">
        <f t="shared" si="1"/>
        <v>6.333333333333333</v>
      </c>
    </row>
    <row r="14" spans="1:16" s="4" customFormat="1" ht="12" customHeight="1">
      <c r="A14" s="4" t="s">
        <v>38</v>
      </c>
      <c r="B14" s="4" t="s">
        <v>16</v>
      </c>
      <c r="C14" s="5">
        <v>5</v>
      </c>
      <c r="D14" s="5">
        <v>2</v>
      </c>
      <c r="F14" s="8" t="s">
        <v>72</v>
      </c>
      <c r="G14" s="5"/>
      <c r="H14" s="7"/>
      <c r="I14" s="7"/>
      <c r="J14" s="7"/>
      <c r="K14" s="16">
        <f t="shared" si="2"/>
        <v>49.166666666666664</v>
      </c>
      <c r="L14" s="17">
        <f t="shared" si="3"/>
        <v>0</v>
      </c>
      <c r="M14" s="22">
        <f t="shared" si="4"/>
        <v>51.28083333333333</v>
      </c>
      <c r="N14" s="22">
        <f t="shared" si="5"/>
        <v>0</v>
      </c>
      <c r="O14" s="14">
        <f t="shared" si="0"/>
        <v>1.043</v>
      </c>
      <c r="P14" s="15">
        <f t="shared" si="1"/>
        <v>24.583333333333332</v>
      </c>
    </row>
    <row r="15" spans="1:16" s="4" customFormat="1" ht="12" customHeight="1">
      <c r="A15" s="4" t="s">
        <v>47</v>
      </c>
      <c r="B15" s="4" t="s">
        <v>16</v>
      </c>
      <c r="C15" s="5">
        <v>5</v>
      </c>
      <c r="D15" s="5">
        <v>27</v>
      </c>
      <c r="F15" s="8" t="s">
        <v>73</v>
      </c>
      <c r="G15" s="5"/>
      <c r="H15" s="7"/>
      <c r="I15" s="7"/>
      <c r="J15" s="7"/>
      <c r="K15" s="16">
        <f t="shared" si="2"/>
        <v>1165.5</v>
      </c>
      <c r="L15" s="17">
        <f t="shared" si="3"/>
        <v>0</v>
      </c>
      <c r="M15" s="22">
        <f t="shared" si="4"/>
        <v>1215.6164999999999</v>
      </c>
      <c r="N15" s="22">
        <f t="shared" si="5"/>
        <v>0</v>
      </c>
      <c r="O15" s="14">
        <f t="shared" si="0"/>
        <v>1.043</v>
      </c>
      <c r="P15" s="15">
        <f t="shared" si="1"/>
        <v>43.166666666666664</v>
      </c>
    </row>
    <row r="16" spans="1:16" s="4" customFormat="1" ht="12" customHeight="1">
      <c r="A16" s="4" t="s">
        <v>51</v>
      </c>
      <c r="B16" s="4" t="s">
        <v>16</v>
      </c>
      <c r="C16" s="5">
        <v>6</v>
      </c>
      <c r="D16" s="5">
        <v>26</v>
      </c>
      <c r="F16" s="8" t="s">
        <v>68</v>
      </c>
      <c r="G16" s="5"/>
      <c r="H16" s="7"/>
      <c r="I16" s="7"/>
      <c r="J16" s="7"/>
      <c r="K16" s="16">
        <f t="shared" si="2"/>
        <v>78</v>
      </c>
      <c r="L16" s="17">
        <f t="shared" si="3"/>
        <v>0</v>
      </c>
      <c r="M16" s="22">
        <f t="shared" si="4"/>
        <v>117.156</v>
      </c>
      <c r="N16" s="22">
        <f t="shared" si="5"/>
        <v>0</v>
      </c>
      <c r="O16" s="14">
        <f t="shared" si="0"/>
        <v>1.502</v>
      </c>
      <c r="P16" s="15">
        <f t="shared" si="1"/>
        <v>3</v>
      </c>
    </row>
    <row r="17" spans="1:16" s="4" customFormat="1" ht="12" customHeight="1">
      <c r="A17" s="4" t="s">
        <v>48</v>
      </c>
      <c r="B17" s="4" t="s">
        <v>16</v>
      </c>
      <c r="C17" s="5">
        <v>4</v>
      </c>
      <c r="D17" s="5">
        <v>10</v>
      </c>
      <c r="F17" s="8" t="s">
        <v>74</v>
      </c>
      <c r="G17" s="5"/>
      <c r="H17" s="7"/>
      <c r="I17" s="7"/>
      <c r="J17" s="7"/>
      <c r="K17" s="16">
        <f t="shared" si="2"/>
        <v>324.16666666666663</v>
      </c>
      <c r="L17" s="17">
        <f t="shared" si="3"/>
        <v>0</v>
      </c>
      <c r="M17" s="22">
        <f t="shared" si="4"/>
        <v>216.54333333333332</v>
      </c>
      <c r="N17" s="22">
        <f t="shared" si="5"/>
        <v>0</v>
      </c>
      <c r="O17" s="14">
        <f t="shared" si="0"/>
        <v>0.668</v>
      </c>
      <c r="P17" s="15">
        <f t="shared" si="1"/>
        <v>32.416666666666664</v>
      </c>
    </row>
    <row r="18" spans="1:16" s="4" customFormat="1" ht="12" customHeight="1">
      <c r="A18" s="4" t="s">
        <v>52</v>
      </c>
      <c r="B18" s="4" t="s">
        <v>16</v>
      </c>
      <c r="C18" s="5">
        <v>4</v>
      </c>
      <c r="D18" s="5">
        <v>11</v>
      </c>
      <c r="F18" s="8" t="s">
        <v>76</v>
      </c>
      <c r="G18" s="5"/>
      <c r="H18" s="7"/>
      <c r="I18" s="7"/>
      <c r="J18" s="7"/>
      <c r="K18" s="16">
        <f t="shared" si="2"/>
        <v>178.75</v>
      </c>
      <c r="L18" s="17">
        <f t="shared" si="3"/>
        <v>0</v>
      </c>
      <c r="M18" s="22">
        <f t="shared" si="4"/>
        <v>119.405</v>
      </c>
      <c r="N18" s="22">
        <f t="shared" si="5"/>
        <v>0</v>
      </c>
      <c r="O18" s="14">
        <f t="shared" si="0"/>
        <v>0.668</v>
      </c>
      <c r="P18" s="15">
        <f t="shared" si="1"/>
        <v>16.25</v>
      </c>
    </row>
    <row r="19" spans="1:16" s="4" customFormat="1" ht="12" customHeight="1">
      <c r="A19" s="4" t="s">
        <v>52</v>
      </c>
      <c r="B19" s="4" t="s">
        <v>16</v>
      </c>
      <c r="C19" s="5">
        <v>7</v>
      </c>
      <c r="D19" s="5">
        <v>21</v>
      </c>
      <c r="F19" s="8" t="s">
        <v>77</v>
      </c>
      <c r="G19" s="5"/>
      <c r="H19" s="7"/>
      <c r="I19" s="8"/>
      <c r="J19" s="7"/>
      <c r="K19" s="16">
        <f t="shared" si="2"/>
        <v>372.75</v>
      </c>
      <c r="L19" s="17">
        <f t="shared" si="3"/>
        <v>0</v>
      </c>
      <c r="M19" s="22">
        <f t="shared" si="4"/>
        <v>761.9010000000001</v>
      </c>
      <c r="N19" s="22">
        <f t="shared" si="5"/>
        <v>0</v>
      </c>
      <c r="O19" s="14">
        <f t="shared" si="0"/>
        <v>2.044</v>
      </c>
      <c r="P19" s="15">
        <f t="shared" si="1"/>
        <v>17.75</v>
      </c>
    </row>
    <row r="20" spans="1:16" s="4" customFormat="1" ht="12" customHeight="1">
      <c r="A20" s="4" t="s">
        <v>49</v>
      </c>
      <c r="B20" s="4" t="s">
        <v>16</v>
      </c>
      <c r="C20" s="5">
        <v>5</v>
      </c>
      <c r="D20" s="5">
        <v>5</v>
      </c>
      <c r="F20" s="8" t="s">
        <v>75</v>
      </c>
      <c r="G20" s="5"/>
      <c r="H20" s="7"/>
      <c r="I20" s="7"/>
      <c r="J20" s="7"/>
      <c r="K20" s="16">
        <f t="shared" si="2"/>
        <v>79.16666666666667</v>
      </c>
      <c r="L20" s="17">
        <f t="shared" si="3"/>
        <v>0</v>
      </c>
      <c r="M20" s="22">
        <f t="shared" si="4"/>
        <v>82.57083333333333</v>
      </c>
      <c r="N20" s="22">
        <f t="shared" si="5"/>
        <v>0</v>
      </c>
      <c r="O20" s="14">
        <f t="shared" si="0"/>
        <v>1.043</v>
      </c>
      <c r="P20" s="15">
        <f t="shared" si="1"/>
        <v>15.833333333333334</v>
      </c>
    </row>
    <row r="21" spans="1:16" s="4" customFormat="1" ht="12" customHeight="1">
      <c r="A21" s="4" t="s">
        <v>48</v>
      </c>
      <c r="B21" s="4" t="s">
        <v>16</v>
      </c>
      <c r="C21" s="5">
        <v>5</v>
      </c>
      <c r="D21" s="5">
        <v>11</v>
      </c>
      <c r="F21" s="8" t="s">
        <v>70</v>
      </c>
      <c r="G21" s="5"/>
      <c r="H21" s="7"/>
      <c r="I21" s="8"/>
      <c r="J21" s="7"/>
      <c r="K21" s="16">
        <f t="shared" si="2"/>
        <v>75.16666666666666</v>
      </c>
      <c r="L21" s="17">
        <f t="shared" si="3"/>
        <v>0</v>
      </c>
      <c r="M21" s="22">
        <f t="shared" si="4"/>
        <v>78.39883333333331</v>
      </c>
      <c r="N21" s="22">
        <f t="shared" si="5"/>
        <v>0</v>
      </c>
      <c r="O21" s="14">
        <f t="shared" si="0"/>
        <v>1.043</v>
      </c>
      <c r="P21" s="15">
        <f t="shared" si="1"/>
        <v>6.833333333333333</v>
      </c>
    </row>
    <row r="22" spans="1:16" s="4" customFormat="1" ht="12" customHeight="1">
      <c r="A22" s="4" t="s">
        <v>52</v>
      </c>
      <c r="B22" s="4" t="s">
        <v>16</v>
      </c>
      <c r="C22" s="5">
        <v>9</v>
      </c>
      <c r="D22" s="5">
        <v>2</v>
      </c>
      <c r="F22" s="8" t="s">
        <v>88</v>
      </c>
      <c r="G22" s="5"/>
      <c r="H22" s="7"/>
      <c r="I22" s="8"/>
      <c r="J22" s="7"/>
      <c r="K22" s="16">
        <f t="shared" si="2"/>
        <v>35.666666666666664</v>
      </c>
      <c r="L22" s="17">
        <f t="shared" si="3"/>
        <v>0</v>
      </c>
      <c r="M22" s="22">
        <f t="shared" si="4"/>
        <v>121.26666666666665</v>
      </c>
      <c r="N22" s="22">
        <f t="shared" si="5"/>
        <v>0</v>
      </c>
      <c r="O22" s="14">
        <f t="shared" si="0"/>
        <v>3.4</v>
      </c>
      <c r="P22" s="15">
        <f t="shared" si="1"/>
        <v>17.833333333333332</v>
      </c>
    </row>
    <row r="23" spans="3:16" s="4" customFormat="1" ht="12" customHeight="1">
      <c r="C23" s="5"/>
      <c r="D23" s="5"/>
      <c r="F23" s="8"/>
      <c r="G23" s="5"/>
      <c r="H23" s="7"/>
      <c r="I23" s="7"/>
      <c r="J23" s="7"/>
      <c r="K23" s="16"/>
      <c r="L23" s="17"/>
      <c r="M23" s="22"/>
      <c r="N23" s="22"/>
      <c r="O23" s="14"/>
      <c r="P23" s="15"/>
    </row>
    <row r="24" spans="1:10" ht="12">
      <c r="A24" s="4"/>
      <c r="G24" s="2"/>
      <c r="H24" s="7"/>
      <c r="I24" s="7"/>
      <c r="J24" s="7"/>
    </row>
    <row r="25" spans="8:12" ht="15">
      <c r="H25" s="32" t="s">
        <v>133</v>
      </c>
      <c r="I25" s="33"/>
      <c r="J25" s="33"/>
      <c r="K25" s="33"/>
      <c r="L25" s="33"/>
    </row>
    <row r="26" spans="5:14" ht="15">
      <c r="E26" s="18"/>
      <c r="F26" s="33" t="s">
        <v>32</v>
      </c>
      <c r="G26" s="33"/>
      <c r="H26" s="33"/>
      <c r="I26" s="33"/>
      <c r="J26" s="18"/>
      <c r="K26" s="33" t="s">
        <v>33</v>
      </c>
      <c r="L26" s="33"/>
      <c r="M26" s="33"/>
      <c r="N26" s="33"/>
    </row>
    <row r="27" spans="5:14" ht="14.25">
      <c r="E27" s="18"/>
      <c r="F27" s="18"/>
      <c r="G27" s="18"/>
      <c r="H27" s="18"/>
      <c r="I27" s="18"/>
      <c r="J27" s="18"/>
      <c r="K27" s="18"/>
      <c r="L27" s="18"/>
      <c r="M27" s="18"/>
      <c r="N27" s="18"/>
    </row>
    <row r="28" spans="6:14" ht="12">
      <c r="F28" s="2" t="s">
        <v>34</v>
      </c>
      <c r="G28" s="2"/>
      <c r="H28" s="2" t="s">
        <v>23</v>
      </c>
      <c r="I28" s="2"/>
      <c r="K28" s="2" t="s">
        <v>34</v>
      </c>
      <c r="L28" s="2"/>
      <c r="M28" s="2" t="s">
        <v>23</v>
      </c>
      <c r="N28" s="2"/>
    </row>
    <row r="29" spans="6:14" ht="12">
      <c r="F29" s="2" t="s">
        <v>35</v>
      </c>
      <c r="G29" s="2" t="s">
        <v>9</v>
      </c>
      <c r="H29" s="2" t="s">
        <v>21</v>
      </c>
      <c r="I29" s="2"/>
      <c r="K29" s="2" t="s">
        <v>35</v>
      </c>
      <c r="L29" s="2" t="s">
        <v>9</v>
      </c>
      <c r="M29" s="2" t="s">
        <v>21</v>
      </c>
      <c r="N29" s="2"/>
    </row>
    <row r="30" spans="6:14" ht="12">
      <c r="F30" s="2" t="s">
        <v>22</v>
      </c>
      <c r="G30" s="2" t="s">
        <v>15</v>
      </c>
      <c r="H30" s="2" t="s">
        <v>22</v>
      </c>
      <c r="I30" s="2" t="s">
        <v>10</v>
      </c>
      <c r="K30" s="2" t="s">
        <v>22</v>
      </c>
      <c r="L30" s="2" t="s">
        <v>15</v>
      </c>
      <c r="M30" s="2" t="s">
        <v>22</v>
      </c>
      <c r="N30" s="2" t="s">
        <v>10</v>
      </c>
    </row>
    <row r="31" spans="6:14" ht="12">
      <c r="F31" s="2"/>
      <c r="G31" s="2"/>
      <c r="H31" s="2"/>
      <c r="I31" s="2"/>
      <c r="K31" s="2"/>
      <c r="L31" s="2"/>
      <c r="M31" s="2"/>
      <c r="N31" s="2"/>
    </row>
    <row r="32" spans="5:14" ht="12">
      <c r="E32">
        <f>SUMIF($C$11:$C$26,4,$D$11:$D$26)</f>
        <v>21</v>
      </c>
      <c r="F32" s="12">
        <f>SUMIF(C8:C25,"=4",K8:K25)</f>
        <v>502.91666666666663</v>
      </c>
      <c r="G32" s="2" t="s">
        <v>24</v>
      </c>
      <c r="H32" s="19">
        <f>F6</f>
        <v>0</v>
      </c>
      <c r="I32" s="20">
        <f>SUMIF(C8:C25,"=4",M8:M25)</f>
        <v>335.9483333333333</v>
      </c>
      <c r="K32" s="12">
        <f>SUMIF(C8:C25,"=4",L8:L25)</f>
        <v>0</v>
      </c>
      <c r="L32" s="2" t="s">
        <v>24</v>
      </c>
      <c r="M32" s="19">
        <f>F6</f>
        <v>0</v>
      </c>
      <c r="N32" s="20">
        <f>SUMIF(C8:C25,"=4",N8:N25)</f>
        <v>0</v>
      </c>
    </row>
    <row r="33" spans="5:14" ht="12">
      <c r="E33">
        <f>SUMIF($C$11:$C$26,5,$D$11:$D$26)</f>
        <v>75</v>
      </c>
      <c r="F33" s="12">
        <f>SUMIF(C8:C25,"=5",K8:K25)</f>
        <v>1934</v>
      </c>
      <c r="G33" s="2" t="s">
        <v>25</v>
      </c>
      <c r="H33" s="19">
        <f>G6</f>
        <v>0</v>
      </c>
      <c r="I33" s="20">
        <f>SUMIF(C8:C25,"=5",M8:M25)</f>
        <v>2017.162</v>
      </c>
      <c r="K33" s="12">
        <f>SUMIF(C8:C25,"=5",L8:L25)</f>
        <v>0</v>
      </c>
      <c r="L33" s="2" t="s">
        <v>25</v>
      </c>
      <c r="M33" s="19">
        <f>G6</f>
        <v>0</v>
      </c>
      <c r="N33" s="20">
        <f>SUMIF(C8:C25,"=5",N8:N25)</f>
        <v>0</v>
      </c>
    </row>
    <row r="34" spans="5:14" ht="12">
      <c r="E34">
        <f>SUMIF($C$11:$C$26,6,$D$11:$D$26)</f>
        <v>26</v>
      </c>
      <c r="F34" s="12">
        <f>SUMIF(C8:C25,"=6",K8:K25)</f>
        <v>78</v>
      </c>
      <c r="G34" s="2" t="s">
        <v>26</v>
      </c>
      <c r="H34" s="19">
        <f>H6</f>
        <v>0</v>
      </c>
      <c r="I34" s="20">
        <f>SUMIF(C8:C25,"=6",M8:M25)</f>
        <v>117.156</v>
      </c>
      <c r="K34" s="12">
        <f>SUMIF(C8:C25,"=6",L8:L25)</f>
        <v>0</v>
      </c>
      <c r="L34" s="2" t="s">
        <v>26</v>
      </c>
      <c r="M34" s="19">
        <f>H6</f>
        <v>0</v>
      </c>
      <c r="N34" s="20">
        <f>SUMIF(C8:C25,"=6",N8:N25)</f>
        <v>0</v>
      </c>
    </row>
    <row r="35" spans="5:14" ht="12">
      <c r="E35">
        <f>SUMIF($C$11:$C$26,7,$D$11:$D$26)</f>
        <v>21</v>
      </c>
      <c r="F35" s="12">
        <f>SUMIF(C8:C25,"=7",K8:K25)</f>
        <v>372.75</v>
      </c>
      <c r="G35" s="2" t="s">
        <v>27</v>
      </c>
      <c r="H35" s="19">
        <f>I6</f>
        <v>0</v>
      </c>
      <c r="I35" s="20">
        <f>SUMIF(C8:C25,"=7",M8:M25)</f>
        <v>761.9010000000001</v>
      </c>
      <c r="K35" s="12">
        <f>SUMIF(C8:C25,"=7",L8:L25)</f>
        <v>0</v>
      </c>
      <c r="L35" s="2" t="s">
        <v>27</v>
      </c>
      <c r="M35" s="19">
        <f>I6</f>
        <v>0</v>
      </c>
      <c r="N35" s="20">
        <f>SUMIF(C8:C25,"=7",N8:N25)</f>
        <v>0</v>
      </c>
    </row>
    <row r="36" spans="5:14" ht="12">
      <c r="E36">
        <f>SUMIF($C$11:$C$26,8,$D$11:$D$26)</f>
        <v>0</v>
      </c>
      <c r="F36" s="12">
        <f>SUMIF(C8:C25,"=8",K8:K25)</f>
        <v>0</v>
      </c>
      <c r="G36" s="2" t="s">
        <v>28</v>
      </c>
      <c r="H36" s="19">
        <f>J6</f>
        <v>0</v>
      </c>
      <c r="I36" s="20">
        <f>SUMIF(C8:C25,"=8",M8:M25)</f>
        <v>0</v>
      </c>
      <c r="K36" s="12">
        <f>SUMIF(C8:C25,"=8",L8:L25)</f>
        <v>0</v>
      </c>
      <c r="L36" s="2" t="s">
        <v>28</v>
      </c>
      <c r="M36" s="19">
        <f>J6</f>
        <v>0</v>
      </c>
      <c r="N36" s="20">
        <f>SUMIF(C8:C25,"=8",N8:N25)</f>
        <v>0</v>
      </c>
    </row>
    <row r="37" spans="5:14" ht="12">
      <c r="E37">
        <f>SUMIF($C$11:$C$26,9,$D$11:$D$26)</f>
        <v>2</v>
      </c>
      <c r="F37" s="12">
        <f>SUMIF(C8:C25,"=9",K8:K25)</f>
        <v>35.666666666666664</v>
      </c>
      <c r="G37" s="2" t="s">
        <v>29</v>
      </c>
      <c r="H37" s="19">
        <f>K6</f>
        <v>0</v>
      </c>
      <c r="I37" s="20">
        <f>SUMIF(C8:C25,"=9",M8:M25)</f>
        <v>121.26666666666665</v>
      </c>
      <c r="K37" s="12">
        <f>SUMIF(C8:C25,"=9",L8:L25)</f>
        <v>0</v>
      </c>
      <c r="L37" s="2" t="s">
        <v>29</v>
      </c>
      <c r="M37" s="19">
        <f>K6</f>
        <v>0</v>
      </c>
      <c r="N37" s="20">
        <f>SUMIF(C8:C25,"=9",N8:N25)</f>
        <v>0</v>
      </c>
    </row>
    <row r="38" spans="5:14" ht="12">
      <c r="E38">
        <f>SUMIF($C$11:$C$26,10,$D$11:$D$26)</f>
        <v>0</v>
      </c>
      <c r="F38" s="12">
        <f>SUMIF(C8:C25,"=10",K8:K25)</f>
        <v>0</v>
      </c>
      <c r="G38" s="2" t="s">
        <v>30</v>
      </c>
      <c r="H38" s="19">
        <f>L6</f>
        <v>0</v>
      </c>
      <c r="I38" s="20">
        <f>SUMIF(C8:C25,"=10",M8:M25)</f>
        <v>0</v>
      </c>
      <c r="K38" s="12">
        <f>SUMIF(C8:C25,"=10",L8:L25)</f>
        <v>0</v>
      </c>
      <c r="L38" s="2" t="s">
        <v>30</v>
      </c>
      <c r="M38" s="19">
        <f>L6</f>
        <v>0</v>
      </c>
      <c r="N38" s="20">
        <f>SUMIF(C8:C25,"=10",N8:N25)</f>
        <v>0</v>
      </c>
    </row>
    <row r="39" spans="5:14" ht="12">
      <c r="E39">
        <f>SUMIF($C$11:$C$26,11,$D$11:$D$26)</f>
        <v>6</v>
      </c>
      <c r="F39" s="12">
        <f>SUMIF(C8:C25,"=11",K8:K25)</f>
        <v>216</v>
      </c>
      <c r="G39" s="2" t="s">
        <v>31</v>
      </c>
      <c r="H39" s="19">
        <f>M6</f>
        <v>0</v>
      </c>
      <c r="I39" s="20">
        <f>SUMIF(C8:C25,"=11",M8:M25)</f>
        <v>1147.608</v>
      </c>
      <c r="K39" s="12">
        <f>SUMIF(C8:C25,"=11",L8:L25)</f>
        <v>0</v>
      </c>
      <c r="L39" s="2" t="s">
        <v>31</v>
      </c>
      <c r="M39" s="19">
        <f>M6</f>
        <v>0</v>
      </c>
      <c r="N39" s="20">
        <f>SUMIF(C8:C25,"=11",N8:N25)</f>
        <v>0</v>
      </c>
    </row>
    <row r="40" spans="8:14" ht="12">
      <c r="H40" s="2" t="s">
        <v>3</v>
      </c>
      <c r="I40" s="21">
        <f>SUM(I32:I39)</f>
        <v>4501.042</v>
      </c>
      <c r="M40" s="2" t="s">
        <v>3</v>
      </c>
      <c r="N40" s="21">
        <f>SUM(N32:N39)</f>
        <v>0</v>
      </c>
    </row>
    <row r="44" spans="1:13" s="4" customFormat="1" ht="15">
      <c r="A44" s="32" t="s">
        <v>132</v>
      </c>
      <c r="B44" s="32"/>
      <c r="C44" s="32"/>
      <c r="D44" s="32"/>
      <c r="E44" s="32"/>
      <c r="F44" s="10">
        <v>0.668</v>
      </c>
      <c r="G44" s="10">
        <v>1.043</v>
      </c>
      <c r="H44" s="10">
        <v>1.502</v>
      </c>
      <c r="I44" s="10">
        <v>2.044</v>
      </c>
      <c r="J44" s="10">
        <v>2.67</v>
      </c>
      <c r="K44" s="11">
        <v>3.4</v>
      </c>
      <c r="L44" s="11">
        <v>4.303</v>
      </c>
      <c r="M44" s="11">
        <v>5.313</v>
      </c>
    </row>
    <row r="45" spans="1:13" s="4" customFormat="1" ht="12" customHeight="1">
      <c r="A45" s="23" t="s">
        <v>64</v>
      </c>
      <c r="C45" s="1"/>
      <c r="F45" s="10"/>
      <c r="G45" s="10"/>
      <c r="H45" s="10"/>
      <c r="I45" s="10"/>
      <c r="J45" s="10"/>
      <c r="K45" s="11"/>
      <c r="L45" s="11"/>
      <c r="M45" s="11"/>
    </row>
    <row r="46" spans="3:14" s="4" customFormat="1" ht="12" customHeight="1">
      <c r="C46" s="6"/>
      <c r="D46" s="6"/>
      <c r="E46" s="7" t="s">
        <v>0</v>
      </c>
      <c r="K46" s="12" t="s">
        <v>4</v>
      </c>
      <c r="L46" s="13" t="s">
        <v>5</v>
      </c>
      <c r="M46" s="13" t="s">
        <v>4</v>
      </c>
      <c r="N46" s="13" t="s">
        <v>5</v>
      </c>
    </row>
    <row r="47" spans="3:16" s="4" customFormat="1" ht="12" customHeight="1">
      <c r="C47" s="7" t="s">
        <v>9</v>
      </c>
      <c r="D47" s="7" t="s">
        <v>0</v>
      </c>
      <c r="E47" s="7" t="s">
        <v>8</v>
      </c>
      <c r="F47" s="8"/>
      <c r="G47" s="7"/>
      <c r="H47" s="6" t="s">
        <v>7</v>
      </c>
      <c r="I47" s="6"/>
      <c r="J47" s="6"/>
      <c r="K47" s="12" t="s">
        <v>1</v>
      </c>
      <c r="L47" s="13" t="s">
        <v>1</v>
      </c>
      <c r="M47" s="13" t="s">
        <v>1</v>
      </c>
      <c r="N47" s="13" t="s">
        <v>1</v>
      </c>
      <c r="P47" s="6"/>
    </row>
    <row r="48" spans="1:16" s="4" customFormat="1" ht="12" customHeight="1">
      <c r="A48" s="5" t="s">
        <v>18</v>
      </c>
      <c r="C48" s="7" t="s">
        <v>15</v>
      </c>
      <c r="D48" s="7" t="s">
        <v>8</v>
      </c>
      <c r="E48" s="5" t="s">
        <v>14</v>
      </c>
      <c r="F48" s="8" t="s">
        <v>2</v>
      </c>
      <c r="G48" s="7" t="s">
        <v>6</v>
      </c>
      <c r="H48" s="5" t="s">
        <v>11</v>
      </c>
      <c r="I48" s="5" t="s">
        <v>12</v>
      </c>
      <c r="J48" s="5" t="s">
        <v>13</v>
      </c>
      <c r="K48" s="12" t="s">
        <v>2</v>
      </c>
      <c r="L48" s="13" t="s">
        <v>2</v>
      </c>
      <c r="M48" s="13" t="s">
        <v>10</v>
      </c>
      <c r="N48" s="13" t="s">
        <v>10</v>
      </c>
      <c r="O48" s="5" t="s">
        <v>10</v>
      </c>
      <c r="P48" s="5" t="s">
        <v>2</v>
      </c>
    </row>
    <row r="49" spans="1:16" s="4" customFormat="1" ht="12" customHeight="1">
      <c r="A49" s="4" t="s">
        <v>38</v>
      </c>
      <c r="B49" s="4" t="s">
        <v>16</v>
      </c>
      <c r="C49" s="5">
        <v>11</v>
      </c>
      <c r="D49" s="5">
        <v>6</v>
      </c>
      <c r="F49" s="8" t="s">
        <v>79</v>
      </c>
      <c r="G49" s="5"/>
      <c r="H49" s="7"/>
      <c r="I49" s="7"/>
      <c r="J49" s="7"/>
      <c r="K49" s="16">
        <f>IF($B49="E",$D49*$P49,0)</f>
        <v>136</v>
      </c>
      <c r="L49" s="17">
        <f>IF($B49="E",0,$D49*$P49)</f>
        <v>0</v>
      </c>
      <c r="M49" s="22">
        <f>$K49*$O49</f>
        <v>722.568</v>
      </c>
      <c r="N49" s="22">
        <f>$L49*$O49</f>
        <v>0</v>
      </c>
      <c r="O49" s="14">
        <f aca="true" t="shared" si="6" ref="O49:O61">LOOKUP(C49,$F$4:$M$4,$F$5:$M$5)</f>
        <v>5.313</v>
      </c>
      <c r="P49" s="15">
        <f aca="true" t="shared" si="7" ref="P49:P61">(LEFT(F49,(FIND("'",F49)-1)))+((MID(F49,FIND("-",F49)+1,((FIND("""",F49)-(FIND("-",F49))-1))))/12)</f>
        <v>22.666666666666668</v>
      </c>
    </row>
    <row r="50" spans="1:16" s="4" customFormat="1" ht="12" customHeight="1">
      <c r="A50" s="4" t="s">
        <v>38</v>
      </c>
      <c r="B50" s="4" t="s">
        <v>16</v>
      </c>
      <c r="C50" s="5">
        <v>5</v>
      </c>
      <c r="D50" s="5">
        <v>16</v>
      </c>
      <c r="F50" s="8" t="s">
        <v>79</v>
      </c>
      <c r="G50" s="5"/>
      <c r="H50" s="7"/>
      <c r="I50" s="7"/>
      <c r="J50" s="7"/>
      <c r="K50" s="16">
        <f>IF($B50="E",$D50*$P50,0)</f>
        <v>362.6666666666667</v>
      </c>
      <c r="L50" s="17">
        <f>IF($B50="E",0,$D50*$P50)</f>
        <v>0</v>
      </c>
      <c r="M50" s="22">
        <f>$K50*$O50</f>
        <v>378.2613333333333</v>
      </c>
      <c r="N50" s="22">
        <f>$L50*$O50</f>
        <v>0</v>
      </c>
      <c r="O50" s="14">
        <f t="shared" si="6"/>
        <v>1.043</v>
      </c>
      <c r="P50" s="15">
        <f t="shared" si="7"/>
        <v>22.666666666666668</v>
      </c>
    </row>
    <row r="51" spans="1:16" s="4" customFormat="1" ht="12" customHeight="1">
      <c r="A51" s="4" t="s">
        <v>38</v>
      </c>
      <c r="B51" s="4" t="s">
        <v>16</v>
      </c>
      <c r="C51" s="5">
        <v>5</v>
      </c>
      <c r="D51" s="5">
        <v>6</v>
      </c>
      <c r="F51" s="8" t="s">
        <v>86</v>
      </c>
      <c r="G51" s="5"/>
      <c r="H51" s="7"/>
      <c r="I51" s="7"/>
      <c r="J51" s="7"/>
      <c r="K51" s="16">
        <f aca="true" t="shared" si="8" ref="K51:K61">IF($B51="E",$D51*$P51,0)</f>
        <v>38</v>
      </c>
      <c r="L51" s="17">
        <f aca="true" t="shared" si="9" ref="L51:L61">IF($B51="E",0,$D51*$P51)</f>
        <v>0</v>
      </c>
      <c r="M51" s="22">
        <f aca="true" t="shared" si="10" ref="M51:M61">$K51*$O51</f>
        <v>39.634</v>
      </c>
      <c r="N51" s="22">
        <f aca="true" t="shared" si="11" ref="N51:N61">$L51*$O51</f>
        <v>0</v>
      </c>
      <c r="O51" s="14">
        <f t="shared" si="6"/>
        <v>1.043</v>
      </c>
      <c r="P51" s="15">
        <f t="shared" si="7"/>
        <v>6.333333333333333</v>
      </c>
    </row>
    <row r="52" spans="1:16" s="4" customFormat="1" ht="12" customHeight="1">
      <c r="A52" s="4" t="s">
        <v>38</v>
      </c>
      <c r="B52" s="4" t="s">
        <v>16</v>
      </c>
      <c r="C52" s="5">
        <v>5</v>
      </c>
      <c r="D52" s="5">
        <v>2</v>
      </c>
      <c r="F52" s="8" t="s">
        <v>80</v>
      </c>
      <c r="G52" s="5"/>
      <c r="H52" s="7"/>
      <c r="I52" s="7"/>
      <c r="J52" s="7"/>
      <c r="K52" s="16">
        <f t="shared" si="8"/>
        <v>20.166666666666668</v>
      </c>
      <c r="L52" s="17">
        <f t="shared" si="9"/>
        <v>0</v>
      </c>
      <c r="M52" s="22">
        <f t="shared" si="10"/>
        <v>21.033833333333334</v>
      </c>
      <c r="N52" s="22">
        <f t="shared" si="11"/>
        <v>0</v>
      </c>
      <c r="O52" s="14">
        <f t="shared" si="6"/>
        <v>1.043</v>
      </c>
      <c r="P52" s="15">
        <f t="shared" si="7"/>
        <v>10.083333333333334</v>
      </c>
    </row>
    <row r="53" spans="1:16" s="4" customFormat="1" ht="12" customHeight="1">
      <c r="A53" s="4" t="s">
        <v>47</v>
      </c>
      <c r="B53" s="4" t="s">
        <v>16</v>
      </c>
      <c r="C53" s="5">
        <v>5</v>
      </c>
      <c r="D53" s="5">
        <v>24</v>
      </c>
      <c r="F53" s="8" t="s">
        <v>73</v>
      </c>
      <c r="G53" s="5"/>
      <c r="H53" s="7"/>
      <c r="I53" s="7"/>
      <c r="J53" s="7"/>
      <c r="K53" s="16">
        <f t="shared" si="8"/>
        <v>1036</v>
      </c>
      <c r="L53" s="17">
        <f t="shared" si="9"/>
        <v>0</v>
      </c>
      <c r="M53" s="22">
        <f t="shared" si="10"/>
        <v>1080.548</v>
      </c>
      <c r="N53" s="22">
        <f t="shared" si="11"/>
        <v>0</v>
      </c>
      <c r="O53" s="14">
        <f t="shared" si="6"/>
        <v>1.043</v>
      </c>
      <c r="P53" s="15">
        <f t="shared" si="7"/>
        <v>43.166666666666664</v>
      </c>
    </row>
    <row r="54" spans="1:16" s="4" customFormat="1" ht="12" customHeight="1">
      <c r="A54" s="4" t="s">
        <v>51</v>
      </c>
      <c r="B54" s="4" t="s">
        <v>16</v>
      </c>
      <c r="C54" s="5">
        <v>6</v>
      </c>
      <c r="D54" s="5">
        <v>23</v>
      </c>
      <c r="F54" s="8" t="s">
        <v>68</v>
      </c>
      <c r="G54" s="5"/>
      <c r="H54" s="7"/>
      <c r="I54" s="7"/>
      <c r="J54" s="7"/>
      <c r="K54" s="16">
        <f t="shared" si="8"/>
        <v>69</v>
      </c>
      <c r="L54" s="17">
        <f t="shared" si="9"/>
        <v>0</v>
      </c>
      <c r="M54" s="22">
        <f t="shared" si="10"/>
        <v>103.638</v>
      </c>
      <c r="N54" s="22">
        <f t="shared" si="11"/>
        <v>0</v>
      </c>
      <c r="O54" s="14">
        <f t="shared" si="6"/>
        <v>1.502</v>
      </c>
      <c r="P54" s="15">
        <f t="shared" si="7"/>
        <v>3</v>
      </c>
    </row>
    <row r="55" spans="1:16" s="4" customFormat="1" ht="12" customHeight="1">
      <c r="A55" s="4" t="s">
        <v>48</v>
      </c>
      <c r="B55" s="4" t="s">
        <v>16</v>
      </c>
      <c r="C55" s="5">
        <v>4</v>
      </c>
      <c r="D55" s="5">
        <v>10</v>
      </c>
      <c r="F55" s="8" t="s">
        <v>81</v>
      </c>
      <c r="G55" s="5"/>
      <c r="H55" s="7"/>
      <c r="I55" s="7"/>
      <c r="J55" s="7"/>
      <c r="K55" s="16">
        <f t="shared" si="8"/>
        <v>233.33333333333331</v>
      </c>
      <c r="L55" s="17">
        <f t="shared" si="9"/>
        <v>0</v>
      </c>
      <c r="M55" s="22">
        <f t="shared" si="10"/>
        <v>155.86666666666667</v>
      </c>
      <c r="N55" s="22">
        <f t="shared" si="11"/>
        <v>0</v>
      </c>
      <c r="O55" s="14">
        <f t="shared" si="6"/>
        <v>0.668</v>
      </c>
      <c r="P55" s="15">
        <f t="shared" si="7"/>
        <v>23.333333333333332</v>
      </c>
    </row>
    <row r="56" spans="1:16" s="4" customFormat="1" ht="12" customHeight="1">
      <c r="A56" s="4" t="s">
        <v>52</v>
      </c>
      <c r="B56" s="4" t="s">
        <v>16</v>
      </c>
      <c r="C56" s="5">
        <v>4</v>
      </c>
      <c r="D56" s="5">
        <v>8</v>
      </c>
      <c r="F56" s="8" t="s">
        <v>82</v>
      </c>
      <c r="G56" s="5"/>
      <c r="H56" s="7"/>
      <c r="I56" s="7"/>
      <c r="J56" s="7"/>
      <c r="K56" s="16">
        <f t="shared" si="8"/>
        <v>133.33333333333334</v>
      </c>
      <c r="L56" s="17">
        <f t="shared" si="9"/>
        <v>0</v>
      </c>
      <c r="M56" s="22">
        <f t="shared" si="10"/>
        <v>89.06666666666668</v>
      </c>
      <c r="N56" s="22">
        <f t="shared" si="11"/>
        <v>0</v>
      </c>
      <c r="O56" s="14">
        <f t="shared" si="6"/>
        <v>0.668</v>
      </c>
      <c r="P56" s="15">
        <f t="shared" si="7"/>
        <v>16.666666666666668</v>
      </c>
    </row>
    <row r="57" spans="1:16" s="4" customFormat="1" ht="12" customHeight="1">
      <c r="A57" s="4" t="s">
        <v>52</v>
      </c>
      <c r="B57" s="4" t="s">
        <v>16</v>
      </c>
      <c r="C57" s="5">
        <v>7</v>
      </c>
      <c r="D57" s="5">
        <v>15</v>
      </c>
      <c r="F57" s="8" t="s">
        <v>77</v>
      </c>
      <c r="G57" s="5"/>
      <c r="H57" s="7"/>
      <c r="I57" s="8"/>
      <c r="J57" s="7"/>
      <c r="K57" s="16">
        <f t="shared" si="8"/>
        <v>266.25</v>
      </c>
      <c r="L57" s="17">
        <f t="shared" si="9"/>
        <v>0</v>
      </c>
      <c r="M57" s="22">
        <f t="shared" si="10"/>
        <v>544.215</v>
      </c>
      <c r="N57" s="22">
        <f t="shared" si="11"/>
        <v>0</v>
      </c>
      <c r="O57" s="14">
        <f t="shared" si="6"/>
        <v>2.044</v>
      </c>
      <c r="P57" s="15">
        <f t="shared" si="7"/>
        <v>17.75</v>
      </c>
    </row>
    <row r="58" spans="1:16" s="4" customFormat="1" ht="12" customHeight="1">
      <c r="A58" s="4" t="s">
        <v>49</v>
      </c>
      <c r="B58" s="4" t="s">
        <v>16</v>
      </c>
      <c r="C58" s="5">
        <v>5</v>
      </c>
      <c r="D58" s="5">
        <v>5</v>
      </c>
      <c r="F58" s="8" t="s">
        <v>83</v>
      </c>
      <c r="G58" s="5"/>
      <c r="H58" s="7"/>
      <c r="I58" s="7"/>
      <c r="J58" s="7"/>
      <c r="K58" s="16">
        <f t="shared" si="8"/>
        <v>56.66666666666667</v>
      </c>
      <c r="L58" s="17">
        <f t="shared" si="9"/>
        <v>0</v>
      </c>
      <c r="M58" s="22">
        <f t="shared" si="10"/>
        <v>59.10333333333333</v>
      </c>
      <c r="N58" s="22">
        <f t="shared" si="11"/>
        <v>0</v>
      </c>
      <c r="O58" s="14">
        <f t="shared" si="6"/>
        <v>1.043</v>
      </c>
      <c r="P58" s="15">
        <f t="shared" si="7"/>
        <v>11.333333333333334</v>
      </c>
    </row>
    <row r="59" spans="1:16" s="4" customFormat="1" ht="12" customHeight="1">
      <c r="A59" s="4" t="s">
        <v>48</v>
      </c>
      <c r="B59" s="4" t="s">
        <v>16</v>
      </c>
      <c r="C59" s="5">
        <v>5</v>
      </c>
      <c r="D59" s="5">
        <v>8</v>
      </c>
      <c r="F59" s="8" t="s">
        <v>70</v>
      </c>
      <c r="G59" s="5"/>
      <c r="H59" s="7"/>
      <c r="I59" s="8"/>
      <c r="J59" s="7"/>
      <c r="K59" s="16">
        <f t="shared" si="8"/>
        <v>54.666666666666664</v>
      </c>
      <c r="L59" s="17">
        <f t="shared" si="9"/>
        <v>0</v>
      </c>
      <c r="M59" s="22">
        <f t="shared" si="10"/>
        <v>57.017333333333326</v>
      </c>
      <c r="N59" s="22">
        <f t="shared" si="11"/>
        <v>0</v>
      </c>
      <c r="O59" s="14">
        <f t="shared" si="6"/>
        <v>1.043</v>
      </c>
      <c r="P59" s="15">
        <f t="shared" si="7"/>
        <v>6.833333333333333</v>
      </c>
    </row>
    <row r="60" spans="1:16" s="4" customFormat="1" ht="12" customHeight="1">
      <c r="A60" s="4" t="s">
        <v>52</v>
      </c>
      <c r="B60" s="4" t="s">
        <v>16</v>
      </c>
      <c r="C60" s="5">
        <v>9</v>
      </c>
      <c r="D60" s="5">
        <v>2</v>
      </c>
      <c r="F60" s="8" t="s">
        <v>50</v>
      </c>
      <c r="G60" s="5"/>
      <c r="H60" s="7"/>
      <c r="I60" s="8"/>
      <c r="J60" s="7"/>
      <c r="K60" s="16">
        <f t="shared" si="8"/>
        <v>35.833333333333336</v>
      </c>
      <c r="L60" s="17">
        <f t="shared" si="9"/>
        <v>0</v>
      </c>
      <c r="M60" s="22">
        <f t="shared" si="10"/>
        <v>121.83333333333334</v>
      </c>
      <c r="N60" s="22">
        <f t="shared" si="11"/>
        <v>0</v>
      </c>
      <c r="O60" s="14">
        <f t="shared" si="6"/>
        <v>3.4</v>
      </c>
      <c r="P60" s="15">
        <f t="shared" si="7"/>
        <v>17.916666666666668</v>
      </c>
    </row>
    <row r="61" spans="1:16" s="4" customFormat="1" ht="12" customHeight="1">
      <c r="A61" s="4" t="s">
        <v>48</v>
      </c>
      <c r="B61" s="4" t="s">
        <v>16</v>
      </c>
      <c r="C61" s="5">
        <v>5</v>
      </c>
      <c r="D61" s="5">
        <v>8</v>
      </c>
      <c r="F61" s="8" t="s">
        <v>78</v>
      </c>
      <c r="G61" s="5"/>
      <c r="H61" s="7"/>
      <c r="I61" s="8"/>
      <c r="J61" s="7"/>
      <c r="K61" s="16">
        <f t="shared" si="8"/>
        <v>55.333333333333336</v>
      </c>
      <c r="L61" s="17">
        <f t="shared" si="9"/>
        <v>0</v>
      </c>
      <c r="M61" s="22">
        <f t="shared" si="10"/>
        <v>57.712666666666664</v>
      </c>
      <c r="N61" s="22">
        <f t="shared" si="11"/>
        <v>0</v>
      </c>
      <c r="O61" s="14">
        <f t="shared" si="6"/>
        <v>1.043</v>
      </c>
      <c r="P61" s="15">
        <f t="shared" si="7"/>
        <v>6.916666666666667</v>
      </c>
    </row>
    <row r="62" spans="1:10" ht="12">
      <c r="A62" s="4"/>
      <c r="G62" s="2"/>
      <c r="H62" s="7"/>
      <c r="I62" s="7"/>
      <c r="J62" s="7"/>
    </row>
    <row r="63" spans="8:12" ht="15">
      <c r="H63" s="32" t="s">
        <v>133</v>
      </c>
      <c r="I63" s="33"/>
      <c r="J63" s="33"/>
      <c r="K63" s="33"/>
      <c r="L63" s="33"/>
    </row>
    <row r="64" spans="5:14" ht="15">
      <c r="E64" s="18"/>
      <c r="F64" s="33" t="s">
        <v>32</v>
      </c>
      <c r="G64" s="33"/>
      <c r="H64" s="33"/>
      <c r="I64" s="33"/>
      <c r="J64" s="18"/>
      <c r="K64" s="33" t="s">
        <v>33</v>
      </c>
      <c r="L64" s="33"/>
      <c r="M64" s="33"/>
      <c r="N64" s="33"/>
    </row>
    <row r="65" spans="5:14" ht="14.25">
      <c r="E65" s="18"/>
      <c r="F65" s="18"/>
      <c r="G65" s="18"/>
      <c r="H65" s="18"/>
      <c r="I65" s="18"/>
      <c r="J65" s="18"/>
      <c r="K65" s="18"/>
      <c r="L65" s="18"/>
      <c r="M65" s="18"/>
      <c r="N65" s="18"/>
    </row>
    <row r="66" spans="6:14" ht="12">
      <c r="F66" s="2" t="s">
        <v>34</v>
      </c>
      <c r="G66" s="2"/>
      <c r="H66" s="2" t="s">
        <v>23</v>
      </c>
      <c r="I66" s="2"/>
      <c r="K66" s="2" t="s">
        <v>34</v>
      </c>
      <c r="L66" s="2"/>
      <c r="M66" s="2" t="s">
        <v>23</v>
      </c>
      <c r="N66" s="2"/>
    </row>
    <row r="67" spans="6:14" ht="12">
      <c r="F67" s="2" t="s">
        <v>35</v>
      </c>
      <c r="G67" s="2" t="s">
        <v>9</v>
      </c>
      <c r="H67" s="2" t="s">
        <v>21</v>
      </c>
      <c r="I67" s="2"/>
      <c r="K67" s="2" t="s">
        <v>35</v>
      </c>
      <c r="L67" s="2" t="s">
        <v>9</v>
      </c>
      <c r="M67" s="2" t="s">
        <v>21</v>
      </c>
      <c r="N67" s="2"/>
    </row>
    <row r="68" spans="6:14" ht="12">
      <c r="F68" s="2" t="s">
        <v>22</v>
      </c>
      <c r="G68" s="2" t="s">
        <v>15</v>
      </c>
      <c r="H68" s="2" t="s">
        <v>22</v>
      </c>
      <c r="I68" s="2" t="s">
        <v>10</v>
      </c>
      <c r="K68" s="2" t="s">
        <v>22</v>
      </c>
      <c r="L68" s="2" t="s">
        <v>15</v>
      </c>
      <c r="M68" s="2" t="s">
        <v>22</v>
      </c>
      <c r="N68" s="2" t="s">
        <v>10</v>
      </c>
    </row>
    <row r="69" spans="6:14" ht="12">
      <c r="F69" s="2"/>
      <c r="G69" s="2"/>
      <c r="H69" s="2"/>
      <c r="I69" s="2"/>
      <c r="K69" s="2"/>
      <c r="L69" s="2"/>
      <c r="M69" s="2"/>
      <c r="N69" s="2"/>
    </row>
    <row r="70" spans="6:14" ht="12">
      <c r="F70" s="12">
        <f>SUMIF(C46:C63,"=4",K46:K63)</f>
        <v>366.66666666666663</v>
      </c>
      <c r="G70" s="2" t="s">
        <v>24</v>
      </c>
      <c r="H70" s="19">
        <f>F44</f>
        <v>0.668</v>
      </c>
      <c r="I70" s="20">
        <f>SUMIF(C46:C63,"=4",M46:M63)</f>
        <v>244.93333333333334</v>
      </c>
      <c r="K70" s="12">
        <f>SUMIF(C46:C63,"=4",L46:L63)</f>
        <v>0</v>
      </c>
      <c r="L70" s="2" t="s">
        <v>24</v>
      </c>
      <c r="M70" s="19">
        <f>F44</f>
        <v>0.668</v>
      </c>
      <c r="N70" s="20">
        <f>SUMIF(C46:C63,"=4",N46:N63)</f>
        <v>0</v>
      </c>
    </row>
    <row r="71" spans="6:14" ht="12">
      <c r="F71" s="12">
        <f>SUMIF(C46:C63,"=5",K46:K63)</f>
        <v>1623.5000000000002</v>
      </c>
      <c r="G71" s="2" t="s">
        <v>25</v>
      </c>
      <c r="H71" s="19">
        <f>G44</f>
        <v>1.043</v>
      </c>
      <c r="I71" s="20">
        <f>SUMIF(C46:C63,"=5",M46:M63)</f>
        <v>1693.3104999999996</v>
      </c>
      <c r="K71" s="12">
        <f>SUMIF(C46:C63,"=5",L46:L63)</f>
        <v>0</v>
      </c>
      <c r="L71" s="2" t="s">
        <v>25</v>
      </c>
      <c r="M71" s="19">
        <f>G44</f>
        <v>1.043</v>
      </c>
      <c r="N71" s="20">
        <f>SUMIF(C46:C63,"=5",N46:N63)</f>
        <v>0</v>
      </c>
    </row>
    <row r="72" spans="6:14" ht="12">
      <c r="F72" s="12">
        <f>SUMIF(C46:C63,"=6",K46:K63)</f>
        <v>69</v>
      </c>
      <c r="G72" s="2" t="s">
        <v>26</v>
      </c>
      <c r="H72" s="19">
        <f>H44</f>
        <v>1.502</v>
      </c>
      <c r="I72" s="20">
        <f>SUMIF(C46:C63,"=6",M46:M63)</f>
        <v>103.638</v>
      </c>
      <c r="K72" s="12">
        <f>SUMIF(C46:C63,"=6",L46:L63)</f>
        <v>0</v>
      </c>
      <c r="L72" s="2" t="s">
        <v>26</v>
      </c>
      <c r="M72" s="19">
        <f>H44</f>
        <v>1.502</v>
      </c>
      <c r="N72" s="20">
        <f>SUMIF(C46:C63,"=6",N46:N63)</f>
        <v>0</v>
      </c>
    </row>
    <row r="73" spans="6:14" ht="12">
      <c r="F73" s="12">
        <f>SUMIF(C46:C63,"=7",K46:K63)</f>
        <v>266.25</v>
      </c>
      <c r="G73" s="2" t="s">
        <v>27</v>
      </c>
      <c r="H73" s="19">
        <f>I44</f>
        <v>2.044</v>
      </c>
      <c r="I73" s="20">
        <f>SUMIF(C46:C63,"=7",M46:M63)</f>
        <v>544.215</v>
      </c>
      <c r="K73" s="12">
        <f>SUMIF(C46:C63,"=7",L46:L63)</f>
        <v>0</v>
      </c>
      <c r="L73" s="2" t="s">
        <v>27</v>
      </c>
      <c r="M73" s="19">
        <f>I44</f>
        <v>2.044</v>
      </c>
      <c r="N73" s="20">
        <f>SUMIF(C46:C63,"=7",N46:N63)</f>
        <v>0</v>
      </c>
    </row>
    <row r="74" spans="6:14" ht="12">
      <c r="F74" s="12">
        <f>SUMIF(C46:C63,"=8",K46:K63)</f>
        <v>0</v>
      </c>
      <c r="G74" s="2" t="s">
        <v>28</v>
      </c>
      <c r="H74" s="19">
        <f>J44</f>
        <v>2.67</v>
      </c>
      <c r="I74" s="20">
        <f>SUMIF(C46:C63,"=8",M46:M63)</f>
        <v>0</v>
      </c>
      <c r="K74" s="12">
        <f>SUMIF(C46:C63,"=8",L46:L63)</f>
        <v>0</v>
      </c>
      <c r="L74" s="2" t="s">
        <v>28</v>
      </c>
      <c r="M74" s="19">
        <f>J44</f>
        <v>2.67</v>
      </c>
      <c r="N74" s="20">
        <f>SUMIF(C46:C63,"=8",N46:N63)</f>
        <v>0</v>
      </c>
    </row>
    <row r="75" spans="6:14" ht="12">
      <c r="F75" s="12">
        <f>SUMIF(C46:C63,"=9",K46:K63)</f>
        <v>35.833333333333336</v>
      </c>
      <c r="G75" s="2" t="s">
        <v>29</v>
      </c>
      <c r="H75" s="19">
        <f>K44</f>
        <v>3.4</v>
      </c>
      <c r="I75" s="20">
        <f>SUMIF(C46:C63,"=9",M46:M63)</f>
        <v>121.83333333333334</v>
      </c>
      <c r="K75" s="12">
        <f>SUMIF(C46:C63,"=9",L46:L63)</f>
        <v>0</v>
      </c>
      <c r="L75" s="2" t="s">
        <v>29</v>
      </c>
      <c r="M75" s="19">
        <f>K44</f>
        <v>3.4</v>
      </c>
      <c r="N75" s="20">
        <f>SUMIF(C46:C63,"=9",N46:N63)</f>
        <v>0</v>
      </c>
    </row>
    <row r="76" spans="6:14" ht="12">
      <c r="F76" s="12">
        <f>SUMIF(C46:C63,"=10",K46:K63)</f>
        <v>0</v>
      </c>
      <c r="G76" s="2" t="s">
        <v>30</v>
      </c>
      <c r="H76" s="19">
        <f>L44</f>
        <v>4.303</v>
      </c>
      <c r="I76" s="20">
        <f>SUMIF(C46:C63,"=10",M46:M63)</f>
        <v>0</v>
      </c>
      <c r="K76" s="12">
        <f>SUMIF(C46:C63,"=10",L46:L63)</f>
        <v>0</v>
      </c>
      <c r="L76" s="2" t="s">
        <v>30</v>
      </c>
      <c r="M76" s="19">
        <f>L44</f>
        <v>4.303</v>
      </c>
      <c r="N76" s="20">
        <f>SUMIF(C46:C63,"=10",N46:N63)</f>
        <v>0</v>
      </c>
    </row>
    <row r="77" spans="6:14" ht="12">
      <c r="F77" s="12">
        <f>SUMIF(C46:C63,"=11",K46:K63)</f>
        <v>136</v>
      </c>
      <c r="G77" s="2" t="s">
        <v>31</v>
      </c>
      <c r="H77" s="19">
        <f>M44</f>
        <v>5.313</v>
      </c>
      <c r="I77" s="20">
        <f>SUMIF(C46:C63,"=11",M46:M63)</f>
        <v>722.568</v>
      </c>
      <c r="K77" s="12">
        <f>SUMIF(C46:C63,"=11",L46:L63)</f>
        <v>0</v>
      </c>
      <c r="L77" s="2" t="s">
        <v>31</v>
      </c>
      <c r="M77" s="19">
        <f>M44</f>
        <v>5.313</v>
      </c>
      <c r="N77" s="20">
        <f>SUMIF(C46:C63,"=11",N46:N63)</f>
        <v>0</v>
      </c>
    </row>
    <row r="78" spans="8:14" ht="12">
      <c r="H78" s="2" t="s">
        <v>3</v>
      </c>
      <c r="I78" s="21">
        <f>SUM(I70:I77)</f>
        <v>3430.4981666666663</v>
      </c>
      <c r="M78" s="2" t="s">
        <v>3</v>
      </c>
      <c r="N78" s="21">
        <f>SUM(N70:N77)</f>
        <v>0</v>
      </c>
    </row>
    <row r="80" spans="8:9" ht="12">
      <c r="H80" s="24" t="s">
        <v>84</v>
      </c>
      <c r="I80" s="25">
        <f>SUM(I40+I78)</f>
        <v>7931.540166666667</v>
      </c>
    </row>
  </sheetData>
  <sheetProtection/>
  <mergeCells count="8">
    <mergeCell ref="A44:E44"/>
    <mergeCell ref="H63:L63"/>
    <mergeCell ref="F64:I64"/>
    <mergeCell ref="K64:N64"/>
    <mergeCell ref="A5:E5"/>
    <mergeCell ref="H25:L25"/>
    <mergeCell ref="F26:I26"/>
    <mergeCell ref="K26:N26"/>
  </mergeCells>
  <printOptions gridLines="1"/>
  <pageMargins left="0.25" right="0.25" top="0.5" bottom="0.5" header="0.25" footer="0.25"/>
  <pageSetup horizontalDpi="600" verticalDpi="600" orientation="landscape" scale="84" r:id="rId2"/>
  <headerFooter alignWithMargins="0">
    <oddHeader>&amp;C&amp;A&amp;R&amp;D</oddHeader>
    <oddFooter>&amp;CPage &amp;P of &amp;N</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1:P102"/>
  <sheetViews>
    <sheetView zoomScalePageLayoutView="0" workbookViewId="0" topLeftCell="A67">
      <selection activeCell="A103" sqref="A103"/>
    </sheetView>
  </sheetViews>
  <sheetFormatPr defaultColWidth="9.00390625" defaultRowHeight="12.75"/>
  <cols>
    <col min="1" max="1" width="31.00390625" style="0" customWidth="1"/>
    <col min="2" max="2" width="3.25390625" style="0" customWidth="1"/>
    <col min="3" max="3" width="4.875" style="0" customWidth="1"/>
    <col min="4" max="4" width="5.75390625" style="0" customWidth="1"/>
    <col min="5" max="5" width="5.50390625" style="0" customWidth="1"/>
    <col min="6" max="6" width="12.75390625" style="0" customWidth="1"/>
    <col min="7" max="10" width="10.75390625" style="0" customWidth="1"/>
    <col min="11" max="12" width="12.75390625" style="0" customWidth="1"/>
    <col min="13" max="14" width="10.75390625" style="0" customWidth="1"/>
    <col min="15" max="16" width="8.875" style="0" hidden="1" customWidth="1"/>
  </cols>
  <sheetData>
    <row r="1" spans="1:6" ht="12">
      <c r="A1" s="1" t="str">
        <f>'Reinf Superstr.'!A1</f>
        <v>Project No: XXXXXXXX</v>
      </c>
      <c r="B1" s="4"/>
      <c r="C1" s="1"/>
      <c r="D1" s="4"/>
      <c r="E1" s="4"/>
      <c r="F1" s="4"/>
    </row>
    <row r="2" spans="1:6" ht="12">
      <c r="A2" s="1" t="str">
        <f>'Reinf Superstr.'!A2</f>
        <v>Str. No.: X-XX-XXX</v>
      </c>
      <c r="B2" s="4"/>
      <c r="C2" s="1"/>
      <c r="D2" s="4"/>
      <c r="E2" s="4"/>
      <c r="F2" s="4"/>
    </row>
    <row r="3" spans="1:6" ht="12">
      <c r="A3" s="1" t="str">
        <f>'Reinf Superstr.'!A3</f>
        <v>By: XXXXXXXXX</v>
      </c>
      <c r="B3" s="4"/>
      <c r="C3" s="1"/>
      <c r="D3" s="4"/>
      <c r="E3" s="4"/>
      <c r="F3" s="4"/>
    </row>
    <row r="4" spans="3:13" s="4" customFormat="1" ht="12">
      <c r="C4" s="1"/>
      <c r="F4" s="9">
        <v>4</v>
      </c>
      <c r="G4" s="9">
        <v>5</v>
      </c>
      <c r="H4" s="9">
        <v>6</v>
      </c>
      <c r="I4" s="9">
        <v>7</v>
      </c>
      <c r="J4" s="9">
        <v>8</v>
      </c>
      <c r="K4" s="9">
        <v>9</v>
      </c>
      <c r="L4" s="9">
        <v>10</v>
      </c>
      <c r="M4" s="9">
        <v>11</v>
      </c>
    </row>
    <row r="5" spans="1:13" s="4" customFormat="1" ht="15">
      <c r="A5" s="32" t="s">
        <v>55</v>
      </c>
      <c r="B5" s="32"/>
      <c r="C5" s="32"/>
      <c r="D5" s="32"/>
      <c r="E5" s="32"/>
      <c r="F5" s="10">
        <v>0.668</v>
      </c>
      <c r="G5" s="10">
        <v>1.043</v>
      </c>
      <c r="H5" s="10">
        <v>1.502</v>
      </c>
      <c r="I5" s="10">
        <v>2.044</v>
      </c>
      <c r="J5" s="10">
        <v>2.67</v>
      </c>
      <c r="K5" s="11">
        <v>3.4</v>
      </c>
      <c r="L5" s="11">
        <v>4.303</v>
      </c>
      <c r="M5" s="11">
        <v>5.313</v>
      </c>
    </row>
    <row r="6" spans="1:13" s="4" customFormat="1" ht="12">
      <c r="A6" s="23"/>
      <c r="C6" s="1"/>
      <c r="F6" s="10"/>
      <c r="G6" s="10"/>
      <c r="H6" s="10"/>
      <c r="I6" s="10"/>
      <c r="J6" s="10"/>
      <c r="K6" s="11"/>
      <c r="L6" s="11"/>
      <c r="M6" s="11"/>
    </row>
    <row r="7" spans="1:13" s="4" customFormat="1" ht="12">
      <c r="A7" s="23"/>
      <c r="C7" s="1"/>
      <c r="F7" s="10"/>
      <c r="G7" s="10"/>
      <c r="H7" s="10"/>
      <c r="I7" s="10"/>
      <c r="J7" s="10"/>
      <c r="K7" s="11"/>
      <c r="L7" s="11"/>
      <c r="M7" s="11"/>
    </row>
    <row r="8" spans="3:14" s="4" customFormat="1" ht="12">
      <c r="C8" s="6"/>
      <c r="D8" s="6"/>
      <c r="E8" s="7" t="s">
        <v>0</v>
      </c>
      <c r="K8" s="12" t="s">
        <v>4</v>
      </c>
      <c r="L8" s="13" t="s">
        <v>5</v>
      </c>
      <c r="M8" s="13" t="s">
        <v>4</v>
      </c>
      <c r="N8" s="13" t="s">
        <v>5</v>
      </c>
    </row>
    <row r="9" spans="3:16" s="4" customFormat="1" ht="12">
      <c r="C9" s="7" t="s">
        <v>9</v>
      </c>
      <c r="D9" s="7" t="s">
        <v>0</v>
      </c>
      <c r="E9" s="7" t="s">
        <v>8</v>
      </c>
      <c r="F9" s="8"/>
      <c r="G9" s="7"/>
      <c r="H9" s="6" t="s">
        <v>7</v>
      </c>
      <c r="I9" s="6"/>
      <c r="J9" s="6"/>
      <c r="K9" s="12" t="s">
        <v>1</v>
      </c>
      <c r="L9" s="13" t="s">
        <v>1</v>
      </c>
      <c r="M9" s="13" t="s">
        <v>1</v>
      </c>
      <c r="N9" s="13" t="s">
        <v>1</v>
      </c>
      <c r="P9" s="6"/>
    </row>
    <row r="10" spans="1:16" s="4" customFormat="1" ht="12">
      <c r="A10" s="5" t="s">
        <v>18</v>
      </c>
      <c r="C10" s="7" t="s">
        <v>15</v>
      </c>
      <c r="D10" s="7" t="s">
        <v>8</v>
      </c>
      <c r="E10" s="5" t="s">
        <v>14</v>
      </c>
      <c r="F10" s="8" t="s">
        <v>2</v>
      </c>
      <c r="G10" s="7" t="s">
        <v>6</v>
      </c>
      <c r="H10" s="5" t="s">
        <v>11</v>
      </c>
      <c r="I10" s="5" t="s">
        <v>12</v>
      </c>
      <c r="J10" s="5" t="s">
        <v>13</v>
      </c>
      <c r="K10" s="12" t="s">
        <v>2</v>
      </c>
      <c r="L10" s="13" t="s">
        <v>2</v>
      </c>
      <c r="M10" s="13" t="s">
        <v>10</v>
      </c>
      <c r="N10" s="13" t="s">
        <v>10</v>
      </c>
      <c r="O10" s="5" t="s">
        <v>10</v>
      </c>
      <c r="P10" s="5" t="s">
        <v>2</v>
      </c>
    </row>
    <row r="11" spans="1:16" s="4" customFormat="1" ht="12">
      <c r="A11" s="4" t="s">
        <v>56</v>
      </c>
      <c r="B11" s="4" t="s">
        <v>16</v>
      </c>
      <c r="C11" s="5">
        <v>4</v>
      </c>
      <c r="D11" s="5">
        <v>10</v>
      </c>
      <c r="F11" s="8" t="s">
        <v>118</v>
      </c>
      <c r="G11" s="5"/>
      <c r="H11" s="7"/>
      <c r="I11" s="8"/>
      <c r="J11" s="7"/>
      <c r="K11" s="16">
        <f aca="true" t="shared" si="0" ref="K11:K26">IF($B11="E",$D11*$P11,0)</f>
        <v>506.66666666666663</v>
      </c>
      <c r="L11" s="17">
        <f aca="true" t="shared" si="1" ref="L11:L26">IF($B11="E",0,$D11*$P11)</f>
        <v>0</v>
      </c>
      <c r="M11" s="22">
        <f aca="true" t="shared" si="2" ref="M11:M26">$K11*$O11</f>
        <v>338.4533333333333</v>
      </c>
      <c r="N11" s="22">
        <f aca="true" t="shared" si="3" ref="N11:N26">$L11*$O11</f>
        <v>0</v>
      </c>
      <c r="O11" s="14">
        <f aca="true" t="shared" si="4" ref="O11:O26">LOOKUP(C11,$F$4:$M$4,$F$5:$M$5)</f>
        <v>0.668</v>
      </c>
      <c r="P11" s="15">
        <f aca="true" t="shared" si="5" ref="P11:P26">(LEFT(F11,(FIND("'",F11)-1)))+((MID(F11,FIND("-",F11)+1,((FIND("""",F11)-(FIND("-",F11))-1))))/12)</f>
        <v>50.666666666666664</v>
      </c>
    </row>
    <row r="12" spans="1:16" s="4" customFormat="1" ht="12">
      <c r="A12" s="4" t="s">
        <v>56</v>
      </c>
      <c r="B12" s="4" t="s">
        <v>16</v>
      </c>
      <c r="C12" s="5">
        <v>4</v>
      </c>
      <c r="D12" s="5">
        <v>18</v>
      </c>
      <c r="F12" s="8" t="s">
        <v>119</v>
      </c>
      <c r="G12" s="5"/>
      <c r="H12" s="7"/>
      <c r="I12" s="8"/>
      <c r="J12" s="7"/>
      <c r="K12" s="16">
        <f t="shared" si="0"/>
        <v>595.5</v>
      </c>
      <c r="L12" s="17">
        <f t="shared" si="1"/>
        <v>0</v>
      </c>
      <c r="M12" s="22">
        <f t="shared" si="2"/>
        <v>397.79400000000004</v>
      </c>
      <c r="N12" s="22">
        <f t="shared" si="3"/>
        <v>0</v>
      </c>
      <c r="O12" s="14">
        <f t="shared" si="4"/>
        <v>0.668</v>
      </c>
      <c r="P12" s="15">
        <f t="shared" si="5"/>
        <v>33.083333333333336</v>
      </c>
    </row>
    <row r="13" spans="1:16" s="4" customFormat="1" ht="12">
      <c r="A13" s="4" t="s">
        <v>57</v>
      </c>
      <c r="B13" s="4" t="s">
        <v>16</v>
      </c>
      <c r="C13" s="5">
        <v>9</v>
      </c>
      <c r="D13" s="5">
        <v>89</v>
      </c>
      <c r="F13" s="8" t="s">
        <v>87</v>
      </c>
      <c r="G13" s="5"/>
      <c r="H13" s="7"/>
      <c r="I13" s="7"/>
      <c r="J13" s="7"/>
      <c r="K13" s="16">
        <f t="shared" si="0"/>
        <v>3204</v>
      </c>
      <c r="L13" s="17">
        <f t="shared" si="1"/>
        <v>0</v>
      </c>
      <c r="M13" s="22">
        <f t="shared" si="2"/>
        <v>10893.6</v>
      </c>
      <c r="N13" s="22">
        <f t="shared" si="3"/>
        <v>0</v>
      </c>
      <c r="O13" s="14">
        <f t="shared" si="4"/>
        <v>3.4</v>
      </c>
      <c r="P13" s="15">
        <f t="shared" si="5"/>
        <v>36</v>
      </c>
    </row>
    <row r="14" spans="1:16" s="4" customFormat="1" ht="12">
      <c r="A14" s="4" t="s">
        <v>58</v>
      </c>
      <c r="B14" s="4" t="s">
        <v>16</v>
      </c>
      <c r="C14" s="5">
        <v>5</v>
      </c>
      <c r="D14" s="5">
        <v>56</v>
      </c>
      <c r="F14" s="8" t="s">
        <v>120</v>
      </c>
      <c r="G14" s="5"/>
      <c r="H14" s="7"/>
      <c r="I14" s="7"/>
      <c r="J14" s="8"/>
      <c r="K14" s="16">
        <f t="shared" si="0"/>
        <v>1180.6666666666665</v>
      </c>
      <c r="L14" s="17">
        <f t="shared" si="1"/>
        <v>0</v>
      </c>
      <c r="M14" s="22">
        <f t="shared" si="2"/>
        <v>1231.4353333333331</v>
      </c>
      <c r="N14" s="22">
        <f t="shared" si="3"/>
        <v>0</v>
      </c>
      <c r="O14" s="14">
        <f t="shared" si="4"/>
        <v>1.043</v>
      </c>
      <c r="P14" s="15">
        <f t="shared" si="5"/>
        <v>21.083333333333332</v>
      </c>
    </row>
    <row r="15" spans="1:16" s="4" customFormat="1" ht="12">
      <c r="A15" s="4" t="s">
        <v>58</v>
      </c>
      <c r="B15" s="4" t="s">
        <v>16</v>
      </c>
      <c r="C15" s="5">
        <v>5</v>
      </c>
      <c r="D15" s="5">
        <v>46</v>
      </c>
      <c r="F15" s="8" t="s">
        <v>92</v>
      </c>
      <c r="G15" s="5"/>
      <c r="H15" s="7"/>
      <c r="I15" s="7"/>
      <c r="J15" s="8"/>
      <c r="K15" s="16">
        <f t="shared" si="0"/>
        <v>1840</v>
      </c>
      <c r="L15" s="17">
        <f t="shared" si="1"/>
        <v>0</v>
      </c>
      <c r="M15" s="22">
        <f t="shared" si="2"/>
        <v>1919.12</v>
      </c>
      <c r="N15" s="22">
        <f t="shared" si="3"/>
        <v>0</v>
      </c>
      <c r="O15" s="14">
        <f t="shared" si="4"/>
        <v>1.043</v>
      </c>
      <c r="P15" s="15">
        <f t="shared" si="5"/>
        <v>40</v>
      </c>
    </row>
    <row r="16" spans="1:16" s="4" customFormat="1" ht="12">
      <c r="A16" s="4" t="s">
        <v>58</v>
      </c>
      <c r="B16" s="4" t="s">
        <v>16</v>
      </c>
      <c r="C16" s="5">
        <v>5</v>
      </c>
      <c r="D16" s="5">
        <v>46</v>
      </c>
      <c r="F16" s="8" t="s">
        <v>124</v>
      </c>
      <c r="G16" s="5"/>
      <c r="H16" s="7"/>
      <c r="I16" s="7"/>
      <c r="J16" s="8"/>
      <c r="K16" s="16">
        <f t="shared" si="0"/>
        <v>237.66666666666669</v>
      </c>
      <c r="L16" s="17">
        <f t="shared" si="1"/>
        <v>0</v>
      </c>
      <c r="M16" s="22">
        <f t="shared" si="2"/>
        <v>247.88633333333334</v>
      </c>
      <c r="N16" s="22">
        <f t="shared" si="3"/>
        <v>0</v>
      </c>
      <c r="O16" s="14">
        <f t="shared" si="4"/>
        <v>1.043</v>
      </c>
      <c r="P16" s="15">
        <f t="shared" si="5"/>
        <v>5.166666666666667</v>
      </c>
    </row>
    <row r="17" spans="1:16" s="4" customFormat="1" ht="12">
      <c r="A17" s="4" t="s">
        <v>58</v>
      </c>
      <c r="B17" s="4" t="s">
        <v>16</v>
      </c>
      <c r="C17" s="5">
        <v>5</v>
      </c>
      <c r="D17" s="5">
        <v>2</v>
      </c>
      <c r="F17" s="8" t="s">
        <v>65</v>
      </c>
      <c r="G17" s="5"/>
      <c r="H17" s="7"/>
      <c r="I17" s="7"/>
      <c r="J17" s="8"/>
      <c r="K17" s="16">
        <f t="shared" si="0"/>
        <v>7.5</v>
      </c>
      <c r="L17" s="17">
        <f t="shared" si="1"/>
        <v>0</v>
      </c>
      <c r="M17" s="22">
        <f t="shared" si="2"/>
        <v>7.8225</v>
      </c>
      <c r="N17" s="22">
        <f t="shared" si="3"/>
        <v>0</v>
      </c>
      <c r="O17" s="14">
        <f t="shared" si="4"/>
        <v>1.043</v>
      </c>
      <c r="P17" s="15">
        <f t="shared" si="5"/>
        <v>3.75</v>
      </c>
    </row>
    <row r="18" spans="1:16" s="4" customFormat="1" ht="12">
      <c r="A18" s="4" t="s">
        <v>58</v>
      </c>
      <c r="B18" s="4" t="s">
        <v>16</v>
      </c>
      <c r="C18" s="5">
        <v>5</v>
      </c>
      <c r="D18" s="5">
        <v>2</v>
      </c>
      <c r="F18" s="8" t="s">
        <v>121</v>
      </c>
      <c r="G18" s="5"/>
      <c r="H18" s="7"/>
      <c r="I18" s="7"/>
      <c r="J18" s="8"/>
      <c r="K18" s="16">
        <f t="shared" si="0"/>
        <v>4.666666666666667</v>
      </c>
      <c r="L18" s="17">
        <f t="shared" si="1"/>
        <v>0</v>
      </c>
      <c r="M18" s="22">
        <f t="shared" si="2"/>
        <v>4.867333333333334</v>
      </c>
      <c r="N18" s="22">
        <f t="shared" si="3"/>
        <v>0</v>
      </c>
      <c r="O18" s="14">
        <f t="shared" si="4"/>
        <v>1.043</v>
      </c>
      <c r="P18" s="15">
        <f t="shared" si="5"/>
        <v>2.3333333333333335</v>
      </c>
    </row>
    <row r="19" spans="1:16" s="4" customFormat="1" ht="12">
      <c r="A19" s="4" t="s">
        <v>128</v>
      </c>
      <c r="B19" s="4" t="s">
        <v>16</v>
      </c>
      <c r="C19" s="5">
        <v>5</v>
      </c>
      <c r="D19" s="5">
        <v>53</v>
      </c>
      <c r="F19" s="8" t="s">
        <v>129</v>
      </c>
      <c r="G19" s="5"/>
      <c r="H19" s="7"/>
      <c r="I19" s="7"/>
      <c r="J19" s="8"/>
      <c r="K19" s="16">
        <f t="shared" si="0"/>
        <v>406.33333333333337</v>
      </c>
      <c r="L19" s="17">
        <f t="shared" si="1"/>
        <v>0</v>
      </c>
      <c r="M19" s="22">
        <f t="shared" si="2"/>
        <v>423.8056666666667</v>
      </c>
      <c r="N19" s="22">
        <f t="shared" si="3"/>
        <v>0</v>
      </c>
      <c r="O19" s="14">
        <f>LOOKUP(C19,$F$4:$M$4,$F$5:$M$5)</f>
        <v>1.043</v>
      </c>
      <c r="P19" s="15">
        <f>(LEFT(F19,(FIND("'",F19)-1)))+((MID(F19,FIND("-",F19)+1,((FIND("""",F19)-(FIND("-",F19))-1))))/12)</f>
        <v>7.666666666666667</v>
      </c>
    </row>
    <row r="20" spans="1:16" s="4" customFormat="1" ht="12">
      <c r="A20" s="4" t="s">
        <v>57</v>
      </c>
      <c r="B20" s="4" t="s">
        <v>16</v>
      </c>
      <c r="C20" s="5">
        <v>5</v>
      </c>
      <c r="D20" s="5">
        <v>2</v>
      </c>
      <c r="F20" s="8" t="s">
        <v>92</v>
      </c>
      <c r="G20" s="5"/>
      <c r="H20" s="7"/>
      <c r="I20" s="7"/>
      <c r="J20" s="8"/>
      <c r="K20" s="16">
        <f t="shared" si="0"/>
        <v>80</v>
      </c>
      <c r="L20" s="17">
        <f t="shared" si="1"/>
        <v>0</v>
      </c>
      <c r="M20" s="22">
        <f t="shared" si="2"/>
        <v>83.44</v>
      </c>
      <c r="N20" s="22">
        <f t="shared" si="3"/>
        <v>0</v>
      </c>
      <c r="O20" s="14">
        <f>LOOKUP(C20,$F$4:$M$4,$F$5:$M$5)</f>
        <v>1.043</v>
      </c>
      <c r="P20" s="15">
        <f>(LEFT(F20,(FIND("'",F20)-1)))+((MID(F20,FIND("-",F20)+1,((FIND("""",F20)-(FIND("-",F20))-1))))/12)</f>
        <v>40</v>
      </c>
    </row>
    <row r="21" spans="1:16" s="4" customFormat="1" ht="12">
      <c r="A21" s="4" t="s">
        <v>57</v>
      </c>
      <c r="B21" s="4" t="s">
        <v>16</v>
      </c>
      <c r="C21" s="5">
        <v>5</v>
      </c>
      <c r="D21" s="5">
        <v>2</v>
      </c>
      <c r="F21" s="8" t="s">
        <v>130</v>
      </c>
      <c r="G21" s="5"/>
      <c r="H21" s="7"/>
      <c r="I21" s="7"/>
      <c r="J21" s="8"/>
      <c r="K21" s="16">
        <f t="shared" si="0"/>
        <v>28.5</v>
      </c>
      <c r="L21" s="17">
        <f t="shared" si="1"/>
        <v>0</v>
      </c>
      <c r="M21" s="22">
        <f t="shared" si="2"/>
        <v>29.725499999999997</v>
      </c>
      <c r="N21" s="22">
        <f t="shared" si="3"/>
        <v>0</v>
      </c>
      <c r="O21" s="14">
        <f>LOOKUP(C21,$F$4:$M$4,$F$5:$M$5)</f>
        <v>1.043</v>
      </c>
      <c r="P21" s="15">
        <f>(LEFT(F21,(FIND("'",F21)-1)))+((MID(F21,FIND("-",F21)+1,((FIND("""",F21)-(FIND("-",F21))-1))))/12)</f>
        <v>14.25</v>
      </c>
    </row>
    <row r="22" spans="1:16" s="4" customFormat="1" ht="12">
      <c r="A22" s="4" t="s">
        <v>123</v>
      </c>
      <c r="B22" s="4" t="s">
        <v>16</v>
      </c>
      <c r="C22" s="5">
        <v>5</v>
      </c>
      <c r="D22" s="5">
        <v>4</v>
      </c>
      <c r="F22" s="8" t="s">
        <v>122</v>
      </c>
      <c r="G22" s="5"/>
      <c r="H22" s="7"/>
      <c r="I22" s="7"/>
      <c r="J22" s="8"/>
      <c r="K22" s="16">
        <f t="shared" si="0"/>
        <v>14.666666666666666</v>
      </c>
      <c r="L22" s="17">
        <f t="shared" si="1"/>
        <v>0</v>
      </c>
      <c r="M22" s="22">
        <f t="shared" si="2"/>
        <v>15.29733333333333</v>
      </c>
      <c r="N22" s="22">
        <f t="shared" si="3"/>
        <v>0</v>
      </c>
      <c r="O22" s="14">
        <f t="shared" si="4"/>
        <v>1.043</v>
      </c>
      <c r="P22" s="15">
        <f t="shared" si="5"/>
        <v>3.6666666666666665</v>
      </c>
    </row>
    <row r="23" spans="1:16" s="4" customFormat="1" ht="12">
      <c r="A23" s="4" t="s">
        <v>123</v>
      </c>
      <c r="B23" s="4" t="s">
        <v>16</v>
      </c>
      <c r="C23" s="5">
        <v>5</v>
      </c>
      <c r="D23" s="5">
        <v>4</v>
      </c>
      <c r="F23" s="8" t="s">
        <v>43</v>
      </c>
      <c r="G23" s="5"/>
      <c r="H23" s="7"/>
      <c r="I23" s="7"/>
      <c r="J23" s="8"/>
      <c r="K23" s="16">
        <f t="shared" si="0"/>
        <v>32.666666666666664</v>
      </c>
      <c r="L23" s="17">
        <f t="shared" si="1"/>
        <v>0</v>
      </c>
      <c r="M23" s="22">
        <f t="shared" si="2"/>
        <v>34.07133333333333</v>
      </c>
      <c r="N23" s="22">
        <f t="shared" si="3"/>
        <v>0</v>
      </c>
      <c r="O23" s="14">
        <f t="shared" si="4"/>
        <v>1.043</v>
      </c>
      <c r="P23" s="15">
        <f t="shared" si="5"/>
        <v>8.166666666666666</v>
      </c>
    </row>
    <row r="24" spans="1:16" s="4" customFormat="1" ht="12">
      <c r="A24" s="4" t="s">
        <v>59</v>
      </c>
      <c r="B24" s="4" t="s">
        <v>16</v>
      </c>
      <c r="C24" s="5">
        <v>5</v>
      </c>
      <c r="D24" s="5">
        <v>8</v>
      </c>
      <c r="F24" s="8" t="s">
        <v>92</v>
      </c>
      <c r="G24" s="5"/>
      <c r="H24" s="7"/>
      <c r="I24" s="7"/>
      <c r="J24" s="8"/>
      <c r="K24" s="16">
        <f t="shared" si="0"/>
        <v>320</v>
      </c>
      <c r="L24" s="17">
        <f t="shared" si="1"/>
        <v>0</v>
      </c>
      <c r="M24" s="22">
        <f t="shared" si="2"/>
        <v>333.76</v>
      </c>
      <c r="N24" s="22">
        <f t="shared" si="3"/>
        <v>0</v>
      </c>
      <c r="O24" s="14">
        <f t="shared" si="4"/>
        <v>1.043</v>
      </c>
      <c r="P24" s="15">
        <f t="shared" si="5"/>
        <v>40</v>
      </c>
    </row>
    <row r="25" spans="1:16" s="4" customFormat="1" ht="12">
      <c r="A25" s="4" t="s">
        <v>59</v>
      </c>
      <c r="B25" s="4" t="s">
        <v>16</v>
      </c>
      <c r="C25" s="5">
        <v>5</v>
      </c>
      <c r="D25" s="5">
        <v>8</v>
      </c>
      <c r="F25" s="8" t="s">
        <v>124</v>
      </c>
      <c r="G25" s="5"/>
      <c r="H25" s="7"/>
      <c r="I25" s="7"/>
      <c r="J25" s="8"/>
      <c r="K25" s="16">
        <f t="shared" si="0"/>
        <v>41.333333333333336</v>
      </c>
      <c r="L25" s="17">
        <f t="shared" si="1"/>
        <v>0</v>
      </c>
      <c r="M25" s="22">
        <f t="shared" si="2"/>
        <v>43.11066666666667</v>
      </c>
      <c r="N25" s="22">
        <f t="shared" si="3"/>
        <v>0</v>
      </c>
      <c r="O25" s="14">
        <f t="shared" si="4"/>
        <v>1.043</v>
      </c>
      <c r="P25" s="15">
        <f t="shared" si="5"/>
        <v>5.166666666666667</v>
      </c>
    </row>
    <row r="26" spans="1:16" s="4" customFormat="1" ht="12">
      <c r="A26" s="4" t="s">
        <v>60</v>
      </c>
      <c r="B26" s="4" t="s">
        <v>16</v>
      </c>
      <c r="C26" s="5">
        <v>5</v>
      </c>
      <c r="D26" s="5">
        <v>45</v>
      </c>
      <c r="F26" s="8" t="s">
        <v>125</v>
      </c>
      <c r="G26" s="5"/>
      <c r="H26" s="7"/>
      <c r="I26" s="7"/>
      <c r="J26" s="8"/>
      <c r="K26" s="16">
        <f t="shared" si="0"/>
        <v>705</v>
      </c>
      <c r="L26" s="17">
        <f t="shared" si="1"/>
        <v>0</v>
      </c>
      <c r="M26" s="22">
        <f t="shared" si="2"/>
        <v>735.3149999999999</v>
      </c>
      <c r="N26" s="22">
        <f t="shared" si="3"/>
        <v>0</v>
      </c>
      <c r="O26" s="14">
        <f t="shared" si="4"/>
        <v>1.043</v>
      </c>
      <c r="P26" s="15">
        <f t="shared" si="5"/>
        <v>15.666666666666666</v>
      </c>
    </row>
    <row r="27" spans="3:16" s="4" customFormat="1" ht="12.75">
      <c r="C27" s="5"/>
      <c r="D27" s="5"/>
      <c r="F27" s="8"/>
      <c r="G27" s="5"/>
      <c r="H27" s="7"/>
      <c r="I27" s="7"/>
      <c r="J27" s="8"/>
      <c r="K27" s="16"/>
      <c r="L27" s="17"/>
      <c r="M27" s="22"/>
      <c r="N27" s="22"/>
      <c r="O27" s="14"/>
      <c r="P27" s="15"/>
    </row>
    <row r="28" spans="3:16" s="4" customFormat="1" ht="12.75">
      <c r="C28" s="5"/>
      <c r="D28" s="5"/>
      <c r="F28" s="8"/>
      <c r="G28" s="5"/>
      <c r="H28" s="7"/>
      <c r="I28" s="7"/>
      <c r="J28" s="8"/>
      <c r="K28" s="16"/>
      <c r="L28" s="17"/>
      <c r="M28" s="22"/>
      <c r="N28" s="22"/>
      <c r="O28" s="14"/>
      <c r="P28" s="15"/>
    </row>
    <row r="29" spans="3:16" s="4" customFormat="1" ht="12.75">
      <c r="C29" s="5"/>
      <c r="D29" s="5"/>
      <c r="F29" s="8"/>
      <c r="G29" s="5"/>
      <c r="H29" s="7"/>
      <c r="I29" s="7"/>
      <c r="J29" s="8"/>
      <c r="K29" s="16"/>
      <c r="L29" s="17"/>
      <c r="M29" s="22"/>
      <c r="N29" s="22"/>
      <c r="O29" s="14"/>
      <c r="P29" s="15"/>
    </row>
    <row r="30" spans="8:12" ht="15">
      <c r="H30" s="33" t="s">
        <v>62</v>
      </c>
      <c r="I30" s="33"/>
      <c r="J30" s="33"/>
      <c r="K30" s="33"/>
      <c r="L30" s="33"/>
    </row>
    <row r="31" spans="5:14" ht="15">
      <c r="E31" s="18"/>
      <c r="F31" s="33" t="s">
        <v>32</v>
      </c>
      <c r="G31" s="33"/>
      <c r="H31" s="33"/>
      <c r="I31" s="33"/>
      <c r="J31" s="18"/>
      <c r="K31" s="33" t="s">
        <v>33</v>
      </c>
      <c r="L31" s="33"/>
      <c r="M31" s="33"/>
      <c r="N31" s="33"/>
    </row>
    <row r="32" spans="5:14" ht="14.25">
      <c r="E32" s="18"/>
      <c r="F32" s="18"/>
      <c r="G32" s="18"/>
      <c r="H32" s="18"/>
      <c r="I32" s="18"/>
      <c r="J32" s="18"/>
      <c r="K32" s="18"/>
      <c r="L32" s="18"/>
      <c r="M32" s="18"/>
      <c r="N32" s="18"/>
    </row>
    <row r="33" spans="6:14" ht="12.75">
      <c r="F33" s="2" t="s">
        <v>34</v>
      </c>
      <c r="G33" s="2"/>
      <c r="H33" s="2" t="s">
        <v>23</v>
      </c>
      <c r="I33" s="2"/>
      <c r="K33" s="2" t="s">
        <v>34</v>
      </c>
      <c r="L33" s="2"/>
      <c r="M33" s="2" t="s">
        <v>23</v>
      </c>
      <c r="N33" s="2"/>
    </row>
    <row r="34" spans="6:14" ht="12.75">
      <c r="F34" s="2" t="s">
        <v>35</v>
      </c>
      <c r="G34" s="2" t="s">
        <v>9</v>
      </c>
      <c r="H34" s="2" t="s">
        <v>21</v>
      </c>
      <c r="I34" s="2"/>
      <c r="K34" s="2" t="s">
        <v>35</v>
      </c>
      <c r="L34" s="2" t="s">
        <v>9</v>
      </c>
      <c r="M34" s="2" t="s">
        <v>21</v>
      </c>
      <c r="N34" s="2"/>
    </row>
    <row r="35" spans="6:14" ht="12.75">
      <c r="F35" s="2" t="s">
        <v>22</v>
      </c>
      <c r="G35" s="2" t="s">
        <v>15</v>
      </c>
      <c r="H35" s="2" t="s">
        <v>22</v>
      </c>
      <c r="I35" s="2" t="s">
        <v>10</v>
      </c>
      <c r="K35" s="2" t="s">
        <v>22</v>
      </c>
      <c r="L35" s="2" t="s">
        <v>15</v>
      </c>
      <c r="M35" s="2" t="s">
        <v>22</v>
      </c>
      <c r="N35" s="2" t="s">
        <v>10</v>
      </c>
    </row>
    <row r="36" spans="6:14" ht="12.75">
      <c r="F36" s="2"/>
      <c r="G36" s="2"/>
      <c r="H36" s="2"/>
      <c r="I36" s="2"/>
      <c r="K36" s="2"/>
      <c r="L36" s="2"/>
      <c r="M36" s="2"/>
      <c r="N36" s="2"/>
    </row>
    <row r="37" spans="5:14" ht="12.75">
      <c r="E37">
        <f>SUMIF($C$11:$C$26,4,$D$11:$D$26)</f>
        <v>28</v>
      </c>
      <c r="F37" s="12">
        <f>SUMIF(C8:C30,"=4",K8:K30)</f>
        <v>1102.1666666666665</v>
      </c>
      <c r="G37" s="2" t="s">
        <v>24</v>
      </c>
      <c r="H37" s="19">
        <f>F5</f>
        <v>0.668</v>
      </c>
      <c r="I37" s="20">
        <f>SUMIF(C8:C30,"=4",M8:M30)</f>
        <v>736.2473333333334</v>
      </c>
      <c r="K37" s="12">
        <f>SUMIF(C8:C30,"=4",L8:L30)</f>
        <v>0</v>
      </c>
      <c r="L37" s="2" t="s">
        <v>24</v>
      </c>
      <c r="M37" s="19">
        <f>F5</f>
        <v>0.668</v>
      </c>
      <c r="N37" s="20">
        <f>SUMIF(C8:C30,"=4",N8:N30)</f>
        <v>0</v>
      </c>
    </row>
    <row r="38" spans="5:14" ht="12.75">
      <c r="E38">
        <f>SUMIF($C$11:$C$26,5,$D$11:$D$26)</f>
        <v>278</v>
      </c>
      <c r="F38" s="12">
        <f>SUMIF(C8:C30,"=5",K8:K30)</f>
        <v>4898.999999999999</v>
      </c>
      <c r="G38" s="2" t="s">
        <v>25</v>
      </c>
      <c r="H38" s="19">
        <f>G5</f>
        <v>1.043</v>
      </c>
      <c r="I38" s="20">
        <f>SUMIF(C8:C30,"=5",M8:M30)</f>
        <v>5109.656999999999</v>
      </c>
      <c r="K38" s="12">
        <f>SUMIF(C8:C30,"=5",L8:L30)</f>
        <v>0</v>
      </c>
      <c r="L38" s="2" t="s">
        <v>25</v>
      </c>
      <c r="M38" s="19">
        <f>G5</f>
        <v>1.043</v>
      </c>
      <c r="N38" s="20">
        <f>SUMIF(C8:C30,"=5",N8:N30)</f>
        <v>0</v>
      </c>
    </row>
    <row r="39" spans="5:14" ht="12.75">
      <c r="E39">
        <f>SUMIF($C$11:$C$26,6,$D$11:$D$26)</f>
        <v>0</v>
      </c>
      <c r="F39" s="12">
        <f>SUMIF(C8:C30,"=6",K8:K30)</f>
        <v>0</v>
      </c>
      <c r="G39" s="2" t="s">
        <v>26</v>
      </c>
      <c r="H39" s="19">
        <f>H5</f>
        <v>1.502</v>
      </c>
      <c r="I39" s="20">
        <f>SUMIF(C8:C30,"=6",M8:M30)</f>
        <v>0</v>
      </c>
      <c r="K39" s="12">
        <f>SUMIF(C8:C30,"=6",L8:L30)</f>
        <v>0</v>
      </c>
      <c r="L39" s="2" t="s">
        <v>26</v>
      </c>
      <c r="M39" s="19">
        <f>H5</f>
        <v>1.502</v>
      </c>
      <c r="N39" s="20">
        <f>SUMIF(C8:C30,"=6",N8:N30)</f>
        <v>0</v>
      </c>
    </row>
    <row r="40" spans="5:14" ht="12.75">
      <c r="E40">
        <f>SUMIF($C$11:$C$26,7,$D$11:$D$26)</f>
        <v>0</v>
      </c>
      <c r="F40" s="12">
        <f>SUMIF(C8:C30,"=7",K8:K30)</f>
        <v>0</v>
      </c>
      <c r="G40" s="2" t="s">
        <v>27</v>
      </c>
      <c r="H40" s="19">
        <f>I5</f>
        <v>2.044</v>
      </c>
      <c r="I40" s="20">
        <f>SUMIF(C8:C30,"=7",M8:M30)</f>
        <v>0</v>
      </c>
      <c r="K40" s="12">
        <f>SUMIF(C8:C30,"=7",L8:L30)</f>
        <v>0</v>
      </c>
      <c r="L40" s="2" t="s">
        <v>27</v>
      </c>
      <c r="M40" s="19">
        <f>I5</f>
        <v>2.044</v>
      </c>
      <c r="N40" s="20">
        <f>SUMIF(C8:C30,"=7",N8:N30)</f>
        <v>0</v>
      </c>
    </row>
    <row r="41" spans="5:14" ht="12.75">
      <c r="E41">
        <f>SUMIF($C$11:$C$26,8,$D$11:$D$26)</f>
        <v>0</v>
      </c>
      <c r="F41" s="12">
        <f>SUMIF(C8:C30,"=8",K8:K30)</f>
        <v>0</v>
      </c>
      <c r="G41" s="2" t="s">
        <v>28</v>
      </c>
      <c r="H41" s="19">
        <f>J5</f>
        <v>2.67</v>
      </c>
      <c r="I41" s="20">
        <f>SUMIF(C8:C30,"=8",M8:M30)</f>
        <v>0</v>
      </c>
      <c r="K41" s="12">
        <f>SUMIF(C8:C30,"=8",L8:L30)</f>
        <v>0</v>
      </c>
      <c r="L41" s="2" t="s">
        <v>28</v>
      </c>
      <c r="M41" s="19">
        <f>J5</f>
        <v>2.67</v>
      </c>
      <c r="N41" s="20">
        <f>SUMIF(C8:C30,"=8",N8:N30)</f>
        <v>0</v>
      </c>
    </row>
    <row r="42" spans="5:14" ht="12.75">
      <c r="E42">
        <f>SUMIF($C$11:$C$26,9,$D$11:$D$26)</f>
        <v>89</v>
      </c>
      <c r="F42" s="12">
        <f>SUMIF(C8:C30,"=9",K8:K30)</f>
        <v>3204</v>
      </c>
      <c r="G42" s="2" t="s">
        <v>29</v>
      </c>
      <c r="H42" s="19">
        <f>K5</f>
        <v>3.4</v>
      </c>
      <c r="I42" s="20">
        <f>SUMIF(C8:C30,"=9",M8:M30)</f>
        <v>10893.6</v>
      </c>
      <c r="K42" s="12">
        <f>SUMIF(C8:C30,"=9",L8:L30)</f>
        <v>0</v>
      </c>
      <c r="L42" s="2" t="s">
        <v>29</v>
      </c>
      <c r="M42" s="19">
        <f>K5</f>
        <v>3.4</v>
      </c>
      <c r="N42" s="20">
        <f>SUMIF(C8:C30,"=9",N8:N30)</f>
        <v>0</v>
      </c>
    </row>
    <row r="43" spans="5:14" ht="12.75">
      <c r="E43">
        <f>SUMIF($C$11:$C$26,10,$D$11:$D$26)</f>
        <v>0</v>
      </c>
      <c r="F43" s="12">
        <f>SUMIF(C8:C30,"=10",K8:K30)</f>
        <v>0</v>
      </c>
      <c r="G43" s="2" t="s">
        <v>30</v>
      </c>
      <c r="H43" s="19">
        <f>L5</f>
        <v>4.303</v>
      </c>
      <c r="I43" s="20">
        <f>SUMIF(C8:C30,"=10",M8:M30)</f>
        <v>0</v>
      </c>
      <c r="K43" s="12">
        <f>SUMIF(C8:C30,"=10",L8:L30)</f>
        <v>0</v>
      </c>
      <c r="L43" s="2" t="s">
        <v>30</v>
      </c>
      <c r="M43" s="19">
        <f>L5</f>
        <v>4.303</v>
      </c>
      <c r="N43" s="20">
        <f>SUMIF(C8:C30,"=10",N8:N30)</f>
        <v>0</v>
      </c>
    </row>
    <row r="44" spans="5:14" ht="12.75">
      <c r="E44">
        <f>SUMIF($C$11:$C$26,1,$D$11:$D$26)</f>
        <v>0</v>
      </c>
      <c r="F44" s="12">
        <f>SUMIF(C8:C30,"=11",K8:K30)</f>
        <v>0</v>
      </c>
      <c r="G44" s="2" t="s">
        <v>31</v>
      </c>
      <c r="H44" s="19">
        <f>M5</f>
        <v>5.313</v>
      </c>
      <c r="I44" s="20">
        <f>SUMIF(C8:C30,"=11",M8:M30)</f>
        <v>0</v>
      </c>
      <c r="K44" s="12">
        <f>SUMIF(C8:C30,"=11",L8:L30)</f>
        <v>0</v>
      </c>
      <c r="L44" s="2" t="s">
        <v>31</v>
      </c>
      <c r="M44" s="19">
        <f>M5</f>
        <v>5.313</v>
      </c>
      <c r="N44" s="20">
        <f>SUMIF(C8:C30,"=11",N8:N30)</f>
        <v>0</v>
      </c>
    </row>
    <row r="45" spans="8:14" ht="12.75">
      <c r="H45" s="2" t="s">
        <v>3</v>
      </c>
      <c r="I45" s="21">
        <f>SUM(I37:I44)</f>
        <v>16739.504333333334</v>
      </c>
      <c r="M45" s="2" t="s">
        <v>3</v>
      </c>
      <c r="N45" s="21">
        <f>SUM(N37:N44)</f>
        <v>0</v>
      </c>
    </row>
    <row r="53" spans="1:13" s="4" customFormat="1" ht="15">
      <c r="A53" s="32" t="s">
        <v>134</v>
      </c>
      <c r="B53" s="32"/>
      <c r="C53" s="32"/>
      <c r="D53" s="32"/>
      <c r="E53" s="32"/>
      <c r="F53" s="10">
        <v>0.668</v>
      </c>
      <c r="G53" s="10">
        <v>1.043</v>
      </c>
      <c r="H53" s="10">
        <v>1.502</v>
      </c>
      <c r="I53" s="10">
        <v>2.044</v>
      </c>
      <c r="J53" s="10">
        <v>2.67</v>
      </c>
      <c r="K53" s="11">
        <v>3.4</v>
      </c>
      <c r="L53" s="11">
        <v>4.303</v>
      </c>
      <c r="M53" s="11">
        <v>5.313</v>
      </c>
    </row>
    <row r="54" spans="1:13" s="4" customFormat="1" ht="12">
      <c r="A54" s="23"/>
      <c r="C54" s="1"/>
      <c r="F54" s="10"/>
      <c r="G54" s="10"/>
      <c r="H54" s="10"/>
      <c r="I54" s="10"/>
      <c r="J54" s="10"/>
      <c r="K54" s="11"/>
      <c r="L54" s="11"/>
      <c r="M54" s="11"/>
    </row>
    <row r="55" spans="1:13" s="4" customFormat="1" ht="12">
      <c r="A55" s="23"/>
      <c r="C55" s="1"/>
      <c r="F55" s="10"/>
      <c r="G55" s="10"/>
      <c r="H55" s="10"/>
      <c r="I55" s="10"/>
      <c r="J55" s="10"/>
      <c r="K55" s="11"/>
      <c r="L55" s="11"/>
      <c r="M55" s="11"/>
    </row>
    <row r="56" spans="3:14" s="4" customFormat="1" ht="12">
      <c r="C56" s="6"/>
      <c r="D56" s="6"/>
      <c r="E56" s="7" t="s">
        <v>0</v>
      </c>
      <c r="K56" s="12" t="s">
        <v>4</v>
      </c>
      <c r="L56" s="13" t="s">
        <v>5</v>
      </c>
      <c r="M56" s="13" t="s">
        <v>4</v>
      </c>
      <c r="N56" s="13" t="s">
        <v>5</v>
      </c>
    </row>
    <row r="57" spans="3:16" s="4" customFormat="1" ht="12">
      <c r="C57" s="7" t="s">
        <v>9</v>
      </c>
      <c r="D57" s="7" t="s">
        <v>0</v>
      </c>
      <c r="E57" s="7" t="s">
        <v>8</v>
      </c>
      <c r="F57" s="8"/>
      <c r="G57" s="7"/>
      <c r="H57" s="6" t="s">
        <v>7</v>
      </c>
      <c r="I57" s="6"/>
      <c r="J57" s="6"/>
      <c r="K57" s="12" t="s">
        <v>1</v>
      </c>
      <c r="L57" s="13" t="s">
        <v>1</v>
      </c>
      <c r="M57" s="13" t="s">
        <v>1</v>
      </c>
      <c r="N57" s="13" t="s">
        <v>1</v>
      </c>
      <c r="P57" s="6"/>
    </row>
    <row r="58" spans="1:16" s="4" customFormat="1" ht="12">
      <c r="A58" s="5" t="s">
        <v>18</v>
      </c>
      <c r="C58" s="7" t="s">
        <v>15</v>
      </c>
      <c r="D58" s="7" t="s">
        <v>8</v>
      </c>
      <c r="E58" s="5" t="s">
        <v>14</v>
      </c>
      <c r="F58" s="8" t="s">
        <v>2</v>
      </c>
      <c r="G58" s="7" t="s">
        <v>6</v>
      </c>
      <c r="H58" s="5" t="s">
        <v>11</v>
      </c>
      <c r="I58" s="5" t="s">
        <v>12</v>
      </c>
      <c r="J58" s="5" t="s">
        <v>13</v>
      </c>
      <c r="K58" s="12" t="s">
        <v>2</v>
      </c>
      <c r="L58" s="13" t="s">
        <v>2</v>
      </c>
      <c r="M58" s="13" t="s">
        <v>10</v>
      </c>
      <c r="N58" s="13" t="s">
        <v>10</v>
      </c>
      <c r="O58" s="5" t="s">
        <v>10</v>
      </c>
      <c r="P58" s="5" t="s">
        <v>2</v>
      </c>
    </row>
    <row r="59" spans="1:16" s="4" customFormat="1" ht="12">
      <c r="A59" s="4" t="s">
        <v>56</v>
      </c>
      <c r="B59" s="4" t="s">
        <v>16</v>
      </c>
      <c r="C59" s="5">
        <v>4</v>
      </c>
      <c r="D59" s="5">
        <v>10</v>
      </c>
      <c r="F59" s="8" t="s">
        <v>118</v>
      </c>
      <c r="G59" s="5"/>
      <c r="H59" s="7"/>
      <c r="I59" s="8"/>
      <c r="J59" s="7"/>
      <c r="K59" s="16">
        <f aca="true" t="shared" si="6" ref="K59:K74">IF($B59="E",$D59*$P59,0)</f>
        <v>506.66666666666663</v>
      </c>
      <c r="L59" s="17">
        <f aca="true" t="shared" si="7" ref="L59:L74">IF($B59="E",0,$D59*$P59)</f>
        <v>0</v>
      </c>
      <c r="M59" s="22">
        <f aca="true" t="shared" si="8" ref="M59:M74">$K59*$O59</f>
        <v>338.4533333333333</v>
      </c>
      <c r="N59" s="22">
        <f aca="true" t="shared" si="9" ref="N59:N74">$L59*$O59</f>
        <v>0</v>
      </c>
      <c r="O59" s="14">
        <f aca="true" t="shared" si="10" ref="O59:O74">LOOKUP(C59,$F$4:$M$4,$F$5:$M$5)</f>
        <v>0.668</v>
      </c>
      <c r="P59" s="15">
        <f aca="true" t="shared" si="11" ref="P59:P74">(LEFT(F59,(FIND("'",F59)-1)))+((MID(F59,FIND("-",F59)+1,((FIND("""",F59)-(FIND("-",F59))-1))))/12)</f>
        <v>50.666666666666664</v>
      </c>
    </row>
    <row r="60" spans="1:16" s="4" customFormat="1" ht="12">
      <c r="A60" s="4" t="s">
        <v>56</v>
      </c>
      <c r="B60" s="4" t="s">
        <v>16</v>
      </c>
      <c r="C60" s="5">
        <v>4</v>
      </c>
      <c r="D60" s="5">
        <v>18</v>
      </c>
      <c r="F60" s="8" t="s">
        <v>119</v>
      </c>
      <c r="G60" s="5"/>
      <c r="H60" s="7"/>
      <c r="I60" s="8"/>
      <c r="J60" s="7"/>
      <c r="K60" s="16">
        <f t="shared" si="6"/>
        <v>595.5</v>
      </c>
      <c r="L60" s="17">
        <f t="shared" si="7"/>
        <v>0</v>
      </c>
      <c r="M60" s="22">
        <f t="shared" si="8"/>
        <v>397.79400000000004</v>
      </c>
      <c r="N60" s="22">
        <f t="shared" si="9"/>
        <v>0</v>
      </c>
      <c r="O60" s="14">
        <f t="shared" si="10"/>
        <v>0.668</v>
      </c>
      <c r="P60" s="15">
        <f t="shared" si="11"/>
        <v>33.083333333333336</v>
      </c>
    </row>
    <row r="61" spans="1:16" s="4" customFormat="1" ht="12">
      <c r="A61" s="4" t="s">
        <v>57</v>
      </c>
      <c r="B61" s="4" t="s">
        <v>16</v>
      </c>
      <c r="C61" s="5">
        <v>9</v>
      </c>
      <c r="D61" s="5">
        <v>88</v>
      </c>
      <c r="F61" s="8" t="s">
        <v>87</v>
      </c>
      <c r="G61" s="5"/>
      <c r="H61" s="7"/>
      <c r="I61" s="7"/>
      <c r="J61" s="7"/>
      <c r="K61" s="16">
        <f t="shared" si="6"/>
        <v>3168</v>
      </c>
      <c r="L61" s="17">
        <f t="shared" si="7"/>
        <v>0</v>
      </c>
      <c r="M61" s="22">
        <f t="shared" si="8"/>
        <v>10771.199999999999</v>
      </c>
      <c r="N61" s="22">
        <f t="shared" si="9"/>
        <v>0</v>
      </c>
      <c r="O61" s="14">
        <f t="shared" si="10"/>
        <v>3.4</v>
      </c>
      <c r="P61" s="15">
        <f t="shared" si="11"/>
        <v>36</v>
      </c>
    </row>
    <row r="62" spans="1:16" s="4" customFormat="1" ht="12">
      <c r="A62" s="4" t="s">
        <v>58</v>
      </c>
      <c r="B62" s="4" t="s">
        <v>16</v>
      </c>
      <c r="C62" s="5">
        <v>5</v>
      </c>
      <c r="D62" s="5">
        <v>56</v>
      </c>
      <c r="F62" s="8" t="s">
        <v>120</v>
      </c>
      <c r="G62" s="5"/>
      <c r="H62" s="7"/>
      <c r="I62" s="7"/>
      <c r="J62" s="8"/>
      <c r="K62" s="16">
        <f t="shared" si="6"/>
        <v>1180.6666666666665</v>
      </c>
      <c r="L62" s="17">
        <f t="shared" si="7"/>
        <v>0</v>
      </c>
      <c r="M62" s="22">
        <f t="shared" si="8"/>
        <v>1231.4353333333331</v>
      </c>
      <c r="N62" s="22">
        <f t="shared" si="9"/>
        <v>0</v>
      </c>
      <c r="O62" s="14">
        <f t="shared" si="10"/>
        <v>1.043</v>
      </c>
      <c r="P62" s="15">
        <f t="shared" si="11"/>
        <v>21.083333333333332</v>
      </c>
    </row>
    <row r="63" spans="1:16" s="4" customFormat="1" ht="12">
      <c r="A63" s="4" t="s">
        <v>58</v>
      </c>
      <c r="B63" s="4" t="s">
        <v>16</v>
      </c>
      <c r="C63" s="5">
        <v>5</v>
      </c>
      <c r="D63" s="5">
        <v>46</v>
      </c>
      <c r="F63" s="8" t="s">
        <v>92</v>
      </c>
      <c r="G63" s="5"/>
      <c r="H63" s="7"/>
      <c r="I63" s="7"/>
      <c r="J63" s="8"/>
      <c r="K63" s="16">
        <f t="shared" si="6"/>
        <v>1840</v>
      </c>
      <c r="L63" s="17">
        <f t="shared" si="7"/>
        <v>0</v>
      </c>
      <c r="M63" s="22">
        <f t="shared" si="8"/>
        <v>1919.12</v>
      </c>
      <c r="N63" s="22">
        <f t="shared" si="9"/>
        <v>0</v>
      </c>
      <c r="O63" s="14">
        <f t="shared" si="10"/>
        <v>1.043</v>
      </c>
      <c r="P63" s="15">
        <f t="shared" si="11"/>
        <v>40</v>
      </c>
    </row>
    <row r="64" spans="1:16" s="4" customFormat="1" ht="12">
      <c r="A64" s="4" t="s">
        <v>58</v>
      </c>
      <c r="B64" s="4" t="s">
        <v>16</v>
      </c>
      <c r="C64" s="5">
        <v>5</v>
      </c>
      <c r="D64" s="5">
        <v>46</v>
      </c>
      <c r="F64" s="8" t="s">
        <v>124</v>
      </c>
      <c r="G64" s="5"/>
      <c r="H64" s="7"/>
      <c r="I64" s="7"/>
      <c r="J64" s="8"/>
      <c r="K64" s="16">
        <f t="shared" si="6"/>
        <v>237.66666666666669</v>
      </c>
      <c r="L64" s="17">
        <f t="shared" si="7"/>
        <v>0</v>
      </c>
      <c r="M64" s="22">
        <f t="shared" si="8"/>
        <v>247.88633333333334</v>
      </c>
      <c r="N64" s="22">
        <f t="shared" si="9"/>
        <v>0</v>
      </c>
      <c r="O64" s="14">
        <f t="shared" si="10"/>
        <v>1.043</v>
      </c>
      <c r="P64" s="15">
        <f t="shared" si="11"/>
        <v>5.166666666666667</v>
      </c>
    </row>
    <row r="65" spans="1:16" s="4" customFormat="1" ht="12">
      <c r="A65" s="4" t="s">
        <v>58</v>
      </c>
      <c r="B65" s="4" t="s">
        <v>16</v>
      </c>
      <c r="C65" s="5">
        <v>5</v>
      </c>
      <c r="D65" s="5">
        <v>2</v>
      </c>
      <c r="F65" s="8" t="s">
        <v>65</v>
      </c>
      <c r="G65" s="5"/>
      <c r="H65" s="7"/>
      <c r="I65" s="7"/>
      <c r="J65" s="8"/>
      <c r="K65" s="16">
        <f t="shared" si="6"/>
        <v>7.5</v>
      </c>
      <c r="L65" s="17">
        <f t="shared" si="7"/>
        <v>0</v>
      </c>
      <c r="M65" s="22">
        <f t="shared" si="8"/>
        <v>7.8225</v>
      </c>
      <c r="N65" s="22">
        <f t="shared" si="9"/>
        <v>0</v>
      </c>
      <c r="O65" s="14">
        <f t="shared" si="10"/>
        <v>1.043</v>
      </c>
      <c r="P65" s="15">
        <f t="shared" si="11"/>
        <v>3.75</v>
      </c>
    </row>
    <row r="66" spans="1:16" s="4" customFormat="1" ht="12">
      <c r="A66" s="4" t="s">
        <v>58</v>
      </c>
      <c r="B66" s="4" t="s">
        <v>16</v>
      </c>
      <c r="C66" s="5">
        <v>5</v>
      </c>
      <c r="D66" s="5">
        <v>2</v>
      </c>
      <c r="F66" s="8" t="s">
        <v>121</v>
      </c>
      <c r="G66" s="5"/>
      <c r="H66" s="7"/>
      <c r="I66" s="7"/>
      <c r="J66" s="8"/>
      <c r="K66" s="16">
        <f t="shared" si="6"/>
        <v>4.666666666666667</v>
      </c>
      <c r="L66" s="17">
        <f t="shared" si="7"/>
        <v>0</v>
      </c>
      <c r="M66" s="22">
        <f t="shared" si="8"/>
        <v>4.867333333333334</v>
      </c>
      <c r="N66" s="22">
        <f t="shared" si="9"/>
        <v>0</v>
      </c>
      <c r="O66" s="14">
        <f t="shared" si="10"/>
        <v>1.043</v>
      </c>
      <c r="P66" s="15">
        <f t="shared" si="11"/>
        <v>2.3333333333333335</v>
      </c>
    </row>
    <row r="67" spans="1:16" s="4" customFormat="1" ht="12">
      <c r="A67" s="4" t="s">
        <v>128</v>
      </c>
      <c r="B67" s="4" t="s">
        <v>16</v>
      </c>
      <c r="C67" s="5">
        <v>5</v>
      </c>
      <c r="D67" s="5">
        <v>53</v>
      </c>
      <c r="F67" s="8" t="s">
        <v>129</v>
      </c>
      <c r="G67" s="5"/>
      <c r="H67" s="7"/>
      <c r="I67" s="7"/>
      <c r="J67" s="8"/>
      <c r="K67" s="16">
        <f t="shared" si="6"/>
        <v>406.33333333333337</v>
      </c>
      <c r="L67" s="17">
        <f t="shared" si="7"/>
        <v>0</v>
      </c>
      <c r="M67" s="22">
        <f t="shared" si="8"/>
        <v>423.8056666666667</v>
      </c>
      <c r="N67" s="22">
        <f t="shared" si="9"/>
        <v>0</v>
      </c>
      <c r="O67" s="14">
        <f t="shared" si="10"/>
        <v>1.043</v>
      </c>
      <c r="P67" s="15">
        <f t="shared" si="11"/>
        <v>7.666666666666667</v>
      </c>
    </row>
    <row r="68" spans="1:16" s="4" customFormat="1" ht="12">
      <c r="A68" s="4" t="s">
        <v>57</v>
      </c>
      <c r="B68" s="4" t="s">
        <v>16</v>
      </c>
      <c r="C68" s="5">
        <v>5</v>
      </c>
      <c r="D68" s="5">
        <v>2</v>
      </c>
      <c r="F68" s="8" t="s">
        <v>92</v>
      </c>
      <c r="G68" s="5"/>
      <c r="H68" s="7"/>
      <c r="I68" s="7"/>
      <c r="J68" s="8"/>
      <c r="K68" s="16">
        <f t="shared" si="6"/>
        <v>80</v>
      </c>
      <c r="L68" s="17">
        <f t="shared" si="7"/>
        <v>0</v>
      </c>
      <c r="M68" s="22">
        <f t="shared" si="8"/>
        <v>83.44</v>
      </c>
      <c r="N68" s="22">
        <f t="shared" si="9"/>
        <v>0</v>
      </c>
      <c r="O68" s="14">
        <f t="shared" si="10"/>
        <v>1.043</v>
      </c>
      <c r="P68" s="15">
        <f t="shared" si="11"/>
        <v>40</v>
      </c>
    </row>
    <row r="69" spans="1:16" s="4" customFormat="1" ht="12">
      <c r="A69" s="4" t="s">
        <v>57</v>
      </c>
      <c r="B69" s="4" t="s">
        <v>16</v>
      </c>
      <c r="C69" s="5">
        <v>5</v>
      </c>
      <c r="D69" s="5">
        <v>2</v>
      </c>
      <c r="F69" s="8" t="s">
        <v>130</v>
      </c>
      <c r="G69" s="5"/>
      <c r="H69" s="7"/>
      <c r="I69" s="7"/>
      <c r="J69" s="8"/>
      <c r="K69" s="16">
        <f t="shared" si="6"/>
        <v>28.5</v>
      </c>
      <c r="L69" s="17">
        <f t="shared" si="7"/>
        <v>0</v>
      </c>
      <c r="M69" s="22">
        <f t="shared" si="8"/>
        <v>29.725499999999997</v>
      </c>
      <c r="N69" s="22">
        <f t="shared" si="9"/>
        <v>0</v>
      </c>
      <c r="O69" s="14">
        <f t="shared" si="10"/>
        <v>1.043</v>
      </c>
      <c r="P69" s="15">
        <f t="shared" si="11"/>
        <v>14.25</v>
      </c>
    </row>
    <row r="70" spans="1:16" s="4" customFormat="1" ht="12">
      <c r="A70" s="4" t="s">
        <v>123</v>
      </c>
      <c r="B70" s="4" t="s">
        <v>16</v>
      </c>
      <c r="C70" s="5">
        <v>5</v>
      </c>
      <c r="D70" s="5">
        <v>4</v>
      </c>
      <c r="F70" s="8" t="s">
        <v>122</v>
      </c>
      <c r="G70" s="5"/>
      <c r="H70" s="7"/>
      <c r="I70" s="7"/>
      <c r="J70" s="8"/>
      <c r="K70" s="16">
        <f t="shared" si="6"/>
        <v>14.666666666666666</v>
      </c>
      <c r="L70" s="17">
        <f t="shared" si="7"/>
        <v>0</v>
      </c>
      <c r="M70" s="22">
        <f t="shared" si="8"/>
        <v>15.29733333333333</v>
      </c>
      <c r="N70" s="22">
        <f t="shared" si="9"/>
        <v>0</v>
      </c>
      <c r="O70" s="14">
        <f t="shared" si="10"/>
        <v>1.043</v>
      </c>
      <c r="P70" s="15">
        <f t="shared" si="11"/>
        <v>3.6666666666666665</v>
      </c>
    </row>
    <row r="71" spans="1:16" s="4" customFormat="1" ht="12">
      <c r="A71" s="4" t="s">
        <v>123</v>
      </c>
      <c r="B71" s="4" t="s">
        <v>16</v>
      </c>
      <c r="C71" s="5">
        <v>5</v>
      </c>
      <c r="D71" s="5">
        <v>4</v>
      </c>
      <c r="F71" s="8" t="s">
        <v>43</v>
      </c>
      <c r="G71" s="5"/>
      <c r="H71" s="7"/>
      <c r="I71" s="7"/>
      <c r="J71" s="8"/>
      <c r="K71" s="16">
        <f t="shared" si="6"/>
        <v>32.666666666666664</v>
      </c>
      <c r="L71" s="17">
        <f t="shared" si="7"/>
        <v>0</v>
      </c>
      <c r="M71" s="22">
        <f t="shared" si="8"/>
        <v>34.07133333333333</v>
      </c>
      <c r="N71" s="22">
        <f t="shared" si="9"/>
        <v>0</v>
      </c>
      <c r="O71" s="14">
        <f t="shared" si="10"/>
        <v>1.043</v>
      </c>
      <c r="P71" s="15">
        <f t="shared" si="11"/>
        <v>8.166666666666666</v>
      </c>
    </row>
    <row r="72" spans="1:16" s="4" customFormat="1" ht="12">
      <c r="A72" s="4" t="s">
        <v>59</v>
      </c>
      <c r="B72" s="4" t="s">
        <v>16</v>
      </c>
      <c r="C72" s="5">
        <v>5</v>
      </c>
      <c r="D72" s="5">
        <v>8</v>
      </c>
      <c r="F72" s="8" t="s">
        <v>92</v>
      </c>
      <c r="G72" s="5"/>
      <c r="H72" s="7"/>
      <c r="I72" s="7"/>
      <c r="J72" s="8"/>
      <c r="K72" s="16">
        <f t="shared" si="6"/>
        <v>320</v>
      </c>
      <c r="L72" s="17">
        <f t="shared" si="7"/>
        <v>0</v>
      </c>
      <c r="M72" s="22">
        <f t="shared" si="8"/>
        <v>333.76</v>
      </c>
      <c r="N72" s="22">
        <f t="shared" si="9"/>
        <v>0</v>
      </c>
      <c r="O72" s="14">
        <f t="shared" si="10"/>
        <v>1.043</v>
      </c>
      <c r="P72" s="15">
        <f t="shared" si="11"/>
        <v>40</v>
      </c>
    </row>
    <row r="73" spans="1:16" s="4" customFormat="1" ht="12">
      <c r="A73" s="4" t="s">
        <v>59</v>
      </c>
      <c r="B73" s="4" t="s">
        <v>16</v>
      </c>
      <c r="C73" s="5">
        <v>5</v>
      </c>
      <c r="D73" s="5">
        <v>8</v>
      </c>
      <c r="F73" s="8" t="s">
        <v>124</v>
      </c>
      <c r="G73" s="5"/>
      <c r="H73" s="7"/>
      <c r="I73" s="7"/>
      <c r="J73" s="8"/>
      <c r="K73" s="16">
        <f t="shared" si="6"/>
        <v>41.333333333333336</v>
      </c>
      <c r="L73" s="17">
        <f t="shared" si="7"/>
        <v>0</v>
      </c>
      <c r="M73" s="22">
        <f t="shared" si="8"/>
        <v>43.11066666666667</v>
      </c>
      <c r="N73" s="22">
        <f t="shared" si="9"/>
        <v>0</v>
      </c>
      <c r="O73" s="14">
        <f t="shared" si="10"/>
        <v>1.043</v>
      </c>
      <c r="P73" s="15">
        <f t="shared" si="11"/>
        <v>5.166666666666667</v>
      </c>
    </row>
    <row r="74" spans="1:16" s="4" customFormat="1" ht="12">
      <c r="A74" s="4" t="s">
        <v>60</v>
      </c>
      <c r="B74" s="4" t="s">
        <v>16</v>
      </c>
      <c r="C74" s="5">
        <v>5</v>
      </c>
      <c r="D74" s="5">
        <v>45</v>
      </c>
      <c r="F74" s="8" t="s">
        <v>125</v>
      </c>
      <c r="G74" s="5"/>
      <c r="H74" s="7"/>
      <c r="I74" s="7"/>
      <c r="J74" s="8"/>
      <c r="K74" s="16">
        <f t="shared" si="6"/>
        <v>705</v>
      </c>
      <c r="L74" s="17">
        <f t="shared" si="7"/>
        <v>0</v>
      </c>
      <c r="M74" s="22">
        <f t="shared" si="8"/>
        <v>735.3149999999999</v>
      </c>
      <c r="N74" s="22">
        <f t="shared" si="9"/>
        <v>0</v>
      </c>
      <c r="O74" s="14">
        <f t="shared" si="10"/>
        <v>1.043</v>
      </c>
      <c r="P74" s="15">
        <f t="shared" si="11"/>
        <v>15.666666666666666</v>
      </c>
    </row>
    <row r="75" spans="3:16" s="4" customFormat="1" ht="12">
      <c r="C75" s="5"/>
      <c r="D75" s="5"/>
      <c r="F75" s="8"/>
      <c r="G75" s="5"/>
      <c r="H75" s="7"/>
      <c r="I75" s="7"/>
      <c r="J75" s="8"/>
      <c r="K75" s="16"/>
      <c r="L75" s="17"/>
      <c r="M75" s="22"/>
      <c r="N75" s="22"/>
      <c r="O75" s="14"/>
      <c r="P75" s="15"/>
    </row>
    <row r="76" spans="3:16" s="4" customFormat="1" ht="12.75">
      <c r="C76" s="5"/>
      <c r="D76" s="5"/>
      <c r="F76" s="8"/>
      <c r="G76" s="5"/>
      <c r="H76" s="7"/>
      <c r="I76" s="7"/>
      <c r="J76" s="8"/>
      <c r="K76" s="16"/>
      <c r="L76" s="17"/>
      <c r="M76" s="22"/>
      <c r="N76" s="22"/>
      <c r="O76" s="14"/>
      <c r="P76" s="15"/>
    </row>
    <row r="77" spans="3:16" s="4" customFormat="1" ht="12.75">
      <c r="C77" s="5"/>
      <c r="D77" s="5"/>
      <c r="F77" s="8"/>
      <c r="G77" s="5"/>
      <c r="H77" s="7"/>
      <c r="I77" s="7"/>
      <c r="J77" s="8"/>
      <c r="K77" s="16"/>
      <c r="L77" s="17"/>
      <c r="M77" s="22"/>
      <c r="N77" s="22"/>
      <c r="O77" s="14"/>
      <c r="P77" s="15"/>
    </row>
    <row r="78" spans="3:16" s="4" customFormat="1" ht="12.75">
      <c r="C78" s="5"/>
      <c r="D78" s="5"/>
      <c r="F78" s="8"/>
      <c r="G78" s="5"/>
      <c r="H78" s="7"/>
      <c r="I78" s="7"/>
      <c r="J78" s="8"/>
      <c r="K78" s="16"/>
      <c r="L78" s="17"/>
      <c r="M78" s="22"/>
      <c r="N78" s="22"/>
      <c r="O78" s="14"/>
      <c r="P78" s="15"/>
    </row>
    <row r="79" spans="3:16" s="4" customFormat="1" ht="12.75">
      <c r="C79" s="5"/>
      <c r="D79" s="5"/>
      <c r="F79" s="8"/>
      <c r="G79" s="5"/>
      <c r="H79" s="7"/>
      <c r="I79" s="7"/>
      <c r="J79" s="8"/>
      <c r="K79" s="16"/>
      <c r="L79" s="17"/>
      <c r="M79" s="22"/>
      <c r="N79" s="22"/>
      <c r="O79" s="14"/>
      <c r="P79" s="15"/>
    </row>
    <row r="80" spans="3:16" s="4" customFormat="1" ht="12.75">
      <c r="C80" s="5"/>
      <c r="D80" s="5"/>
      <c r="F80" s="8"/>
      <c r="G80" s="5"/>
      <c r="H80" s="7"/>
      <c r="I80" s="7"/>
      <c r="J80" s="8"/>
      <c r="K80" s="16"/>
      <c r="L80" s="17"/>
      <c r="M80" s="22"/>
      <c r="N80" s="22"/>
      <c r="O80" s="14"/>
      <c r="P80" s="15"/>
    </row>
    <row r="81" spans="8:12" ht="15">
      <c r="H81" s="32" t="s">
        <v>135</v>
      </c>
      <c r="I81" s="33"/>
      <c r="J81" s="33"/>
      <c r="K81" s="33"/>
      <c r="L81" s="33"/>
    </row>
    <row r="82" spans="5:14" ht="15">
      <c r="E82" s="18"/>
      <c r="F82" s="33" t="s">
        <v>32</v>
      </c>
      <c r="G82" s="33"/>
      <c r="H82" s="33"/>
      <c r="I82" s="33"/>
      <c r="J82" s="18"/>
      <c r="K82" s="33" t="s">
        <v>33</v>
      </c>
      <c r="L82" s="33"/>
      <c r="M82" s="33"/>
      <c r="N82" s="33"/>
    </row>
    <row r="83" spans="5:14" ht="14.25">
      <c r="E83" s="18"/>
      <c r="F83" s="18"/>
      <c r="G83" s="18"/>
      <c r="H83" s="18"/>
      <c r="I83" s="18"/>
      <c r="J83" s="18"/>
      <c r="K83" s="18"/>
      <c r="L83" s="18"/>
      <c r="M83" s="18"/>
      <c r="N83" s="18"/>
    </row>
    <row r="84" spans="6:14" ht="12.75">
      <c r="F84" s="2" t="s">
        <v>34</v>
      </c>
      <c r="G84" s="2"/>
      <c r="H84" s="2" t="s">
        <v>23</v>
      </c>
      <c r="I84" s="2"/>
      <c r="K84" s="2" t="s">
        <v>34</v>
      </c>
      <c r="L84" s="2"/>
      <c r="M84" s="2" t="s">
        <v>23</v>
      </c>
      <c r="N84" s="2"/>
    </row>
    <row r="85" spans="6:14" ht="12.75">
      <c r="F85" s="2" t="s">
        <v>35</v>
      </c>
      <c r="G85" s="2" t="s">
        <v>9</v>
      </c>
      <c r="H85" s="2" t="s">
        <v>21</v>
      </c>
      <c r="I85" s="2"/>
      <c r="K85" s="2" t="s">
        <v>35</v>
      </c>
      <c r="L85" s="2" t="s">
        <v>9</v>
      </c>
      <c r="M85" s="2" t="s">
        <v>21</v>
      </c>
      <c r="N85" s="2"/>
    </row>
    <row r="86" spans="6:14" ht="12.75">
      <c r="F86" s="2" t="s">
        <v>22</v>
      </c>
      <c r="G86" s="2" t="s">
        <v>15</v>
      </c>
      <c r="H86" s="2" t="s">
        <v>22</v>
      </c>
      <c r="I86" s="2" t="s">
        <v>10</v>
      </c>
      <c r="K86" s="2" t="s">
        <v>22</v>
      </c>
      <c r="L86" s="2" t="s">
        <v>15</v>
      </c>
      <c r="M86" s="2" t="s">
        <v>22</v>
      </c>
      <c r="N86" s="2" t="s">
        <v>10</v>
      </c>
    </row>
    <row r="87" spans="6:14" ht="12.75">
      <c r="F87" s="2"/>
      <c r="G87" s="2"/>
      <c r="H87" s="2"/>
      <c r="I87" s="2"/>
      <c r="K87" s="2"/>
      <c r="L87" s="2"/>
      <c r="M87" s="2"/>
      <c r="N87" s="2"/>
    </row>
    <row r="88" spans="6:14" ht="12.75">
      <c r="F88" s="12">
        <f>SUMIF(C56:C81,"=4",K56:K81)</f>
        <v>1102.1666666666665</v>
      </c>
      <c r="G88" s="2" t="s">
        <v>24</v>
      </c>
      <c r="H88" s="19">
        <f>F53</f>
        <v>0.668</v>
      </c>
      <c r="I88" s="20">
        <f>SUMIF(C56:C81,"=4",M56:M81)</f>
        <v>736.2473333333334</v>
      </c>
      <c r="K88" s="12">
        <f>SUMIF(C56:C81,"=4",L56:L81)</f>
        <v>0</v>
      </c>
      <c r="L88" s="2" t="s">
        <v>24</v>
      </c>
      <c r="M88" s="19">
        <f>F53</f>
        <v>0.668</v>
      </c>
      <c r="N88" s="20">
        <f>SUMIF(C56:C81,"=4",N56:N81)</f>
        <v>0</v>
      </c>
    </row>
    <row r="89" spans="6:14" ht="12.75">
      <c r="F89" s="12">
        <f>SUMIF(C56:C81,"=5",K56:K81)</f>
        <v>4898.999999999999</v>
      </c>
      <c r="G89" s="2" t="s">
        <v>25</v>
      </c>
      <c r="H89" s="19">
        <f>G53</f>
        <v>1.043</v>
      </c>
      <c r="I89" s="20">
        <f>SUMIF(C56:C81,"=5",M56:M81)</f>
        <v>5109.656999999999</v>
      </c>
      <c r="K89" s="12">
        <f>SUMIF(C56:C81,"=5",L56:L81)</f>
        <v>0</v>
      </c>
      <c r="L89" s="2" t="s">
        <v>25</v>
      </c>
      <c r="M89" s="19">
        <f>G53</f>
        <v>1.043</v>
      </c>
      <c r="N89" s="20">
        <f>SUMIF(C56:C81,"=5",N56:N81)</f>
        <v>0</v>
      </c>
    </row>
    <row r="90" spans="6:14" ht="12.75">
      <c r="F90" s="12">
        <f>SUMIF(C56:C81,"=6",K56:K81)</f>
        <v>0</v>
      </c>
      <c r="G90" s="2" t="s">
        <v>26</v>
      </c>
      <c r="H90" s="19">
        <f>H53</f>
        <v>1.502</v>
      </c>
      <c r="I90" s="20">
        <f>SUMIF(C56:C81,"=6",M56:M81)</f>
        <v>0</v>
      </c>
      <c r="K90" s="12">
        <f>SUMIF(C56:C81,"=6",L56:L81)</f>
        <v>0</v>
      </c>
      <c r="L90" s="2" t="s">
        <v>26</v>
      </c>
      <c r="M90" s="19">
        <f>H53</f>
        <v>1.502</v>
      </c>
      <c r="N90" s="20">
        <f>SUMIF(C56:C81,"=6",N56:N81)</f>
        <v>0</v>
      </c>
    </row>
    <row r="91" spans="6:14" ht="12.75">
      <c r="F91" s="12">
        <f>SUMIF(C56:C81,"=7",K56:K81)</f>
        <v>0</v>
      </c>
      <c r="G91" s="2" t="s">
        <v>27</v>
      </c>
      <c r="H91" s="19">
        <f>I53</f>
        <v>2.044</v>
      </c>
      <c r="I91" s="20">
        <f>SUMIF(C56:C81,"=7",M56:M81)</f>
        <v>0</v>
      </c>
      <c r="K91" s="12">
        <f>SUMIF(C56:C81,"=7",L56:L81)</f>
        <v>0</v>
      </c>
      <c r="L91" s="2" t="s">
        <v>27</v>
      </c>
      <c r="M91" s="19">
        <f>I53</f>
        <v>2.044</v>
      </c>
      <c r="N91" s="20">
        <f>SUMIF(C56:C81,"=7",N56:N81)</f>
        <v>0</v>
      </c>
    </row>
    <row r="92" spans="6:14" ht="12.75">
      <c r="F92" s="12">
        <f>SUMIF(C56:C81,"=8",K56:K81)</f>
        <v>0</v>
      </c>
      <c r="G92" s="2" t="s">
        <v>28</v>
      </c>
      <c r="H92" s="19">
        <f>J53</f>
        <v>2.67</v>
      </c>
      <c r="I92" s="20">
        <f>SUMIF(C56:C81,"=8",M56:M81)</f>
        <v>0</v>
      </c>
      <c r="K92" s="12">
        <f>SUMIF(C56:C81,"=8",L56:L81)</f>
        <v>0</v>
      </c>
      <c r="L92" s="2" t="s">
        <v>28</v>
      </c>
      <c r="M92" s="19">
        <f>J53</f>
        <v>2.67</v>
      </c>
      <c r="N92" s="20">
        <f>SUMIF(C56:C81,"=8",N56:N81)</f>
        <v>0</v>
      </c>
    </row>
    <row r="93" spans="6:14" ht="12.75">
      <c r="F93" s="12">
        <f>SUMIF(C56:C81,"=9",K56:K81)</f>
        <v>3168</v>
      </c>
      <c r="G93" s="2" t="s">
        <v>29</v>
      </c>
      <c r="H93" s="19">
        <f>K53</f>
        <v>3.4</v>
      </c>
      <c r="I93" s="20">
        <f>SUMIF(C56:C81,"=9",M56:M81)</f>
        <v>10771.199999999999</v>
      </c>
      <c r="K93" s="12">
        <f>SUMIF(C56:C81,"=9",L56:L81)</f>
        <v>0</v>
      </c>
      <c r="L93" s="2" t="s">
        <v>29</v>
      </c>
      <c r="M93" s="19">
        <f>K53</f>
        <v>3.4</v>
      </c>
      <c r="N93" s="20">
        <f>SUMIF(C56:C81,"=9",N56:N81)</f>
        <v>0</v>
      </c>
    </row>
    <row r="94" spans="6:14" ht="12.75">
      <c r="F94" s="12">
        <f>SUMIF(C56:C81,"=10",K56:K81)</f>
        <v>0</v>
      </c>
      <c r="G94" s="2" t="s">
        <v>30</v>
      </c>
      <c r="H94" s="19">
        <f>L53</f>
        <v>4.303</v>
      </c>
      <c r="I94" s="20">
        <f>SUMIF(C56:C81,"=10",M56:M81)</f>
        <v>0</v>
      </c>
      <c r="K94" s="12">
        <f>SUMIF(C56:C81,"=10",L56:L81)</f>
        <v>0</v>
      </c>
      <c r="L94" s="2" t="s">
        <v>30</v>
      </c>
      <c r="M94" s="19">
        <f>L53</f>
        <v>4.303</v>
      </c>
      <c r="N94" s="20">
        <f>SUMIF(C56:C81,"=10",N56:N81)</f>
        <v>0</v>
      </c>
    </row>
    <row r="95" spans="6:14" ht="12.75">
      <c r="F95" s="12">
        <f>SUMIF(C56:C81,"=11",K56:K81)</f>
        <v>0</v>
      </c>
      <c r="G95" s="2" t="s">
        <v>31</v>
      </c>
      <c r="H95" s="19">
        <f>M53</f>
        <v>5.313</v>
      </c>
      <c r="I95" s="20">
        <f>SUMIF(C56:C81,"=11",M56:M81)</f>
        <v>0</v>
      </c>
      <c r="K95" s="12">
        <f>SUMIF(C56:C81,"=11",L56:L81)</f>
        <v>0</v>
      </c>
      <c r="L95" s="2" t="s">
        <v>31</v>
      </c>
      <c r="M95" s="19">
        <f>M53</f>
        <v>5.313</v>
      </c>
      <c r="N95" s="20">
        <f>SUMIF(C56:C81,"=11",N56:N81)</f>
        <v>0</v>
      </c>
    </row>
    <row r="96" spans="8:14" ht="12.75">
      <c r="H96" s="2" t="s">
        <v>3</v>
      </c>
      <c r="I96" s="21">
        <f>SUM(I88:I95)</f>
        <v>16617.104333333333</v>
      </c>
      <c r="M96" s="2" t="s">
        <v>3</v>
      </c>
      <c r="N96" s="21">
        <f>SUM(N88:N95)</f>
        <v>0</v>
      </c>
    </row>
    <row r="101" spans="7:9" ht="12">
      <c r="G101" s="26"/>
      <c r="H101" s="27" t="s">
        <v>84</v>
      </c>
      <c r="I101" s="25">
        <f>SUM(I45+I96)</f>
        <v>33356.60866666667</v>
      </c>
    </row>
    <row r="102" spans="6:9" ht="12">
      <c r="F102" s="28" t="s">
        <v>85</v>
      </c>
      <c r="G102" s="29"/>
      <c r="H102" s="29"/>
      <c r="I102" s="30">
        <f>I101</f>
        <v>33356.60866666667</v>
      </c>
    </row>
  </sheetData>
  <sheetProtection/>
  <mergeCells count="8">
    <mergeCell ref="A5:E5"/>
    <mergeCell ref="A53:E53"/>
    <mergeCell ref="H81:L81"/>
    <mergeCell ref="F82:I82"/>
    <mergeCell ref="K82:N82"/>
    <mergeCell ref="H30:L30"/>
    <mergeCell ref="F31:I31"/>
    <mergeCell ref="K31:N31"/>
  </mergeCells>
  <printOptions gridLines="1"/>
  <pageMargins left="0.25" right="0.25" top="0.5" bottom="0.5" header="0.25" footer="0.25"/>
  <pageSetup fitToHeight="0" fitToWidth="1" horizontalDpi="600" verticalDpi="600" orientation="landscape" scale="82" r:id="rId2"/>
  <headerFooter alignWithMargins="0">
    <oddHeader>&amp;C&amp;A&amp;R&amp;D</oddHeader>
    <oddFooter>&amp;CPage &amp;P of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CDOT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Staff Bridge</dc:creator>
  <cp:keywords/>
  <dc:description/>
  <cp:lastModifiedBy>Conger, Dana</cp:lastModifiedBy>
  <cp:lastPrinted>2014-09-10T18:38:59Z</cp:lastPrinted>
  <dcterms:created xsi:type="dcterms:W3CDTF">2000-03-23T19:28:39Z</dcterms:created>
  <dcterms:modified xsi:type="dcterms:W3CDTF">2014-09-10T18:39:07Z</dcterms:modified>
  <cp:category/>
  <cp:version/>
  <cp:contentType/>
  <cp:contentStatus/>
</cp:coreProperties>
</file>